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elg\Dropbox\Min PC (LAPTOP-O3J5TO2R)\Documents\Examensarbete\"/>
    </mc:Choice>
  </mc:AlternateContent>
  <xr:revisionPtr revIDLastSave="0" documentId="13_ncr:1_{11E03E5B-563D-4ABA-9AA5-31C1BFBD1826}" xr6:coauthVersionLast="47" xr6:coauthVersionMax="47" xr10:uidLastSave="{00000000-0000-0000-0000-000000000000}"/>
  <bookViews>
    <workbookView xWindow="-110" yWindow="-110" windowWidth="19420" windowHeight="10300" firstSheet="5" activeTab="10" xr2:uid="{6B5D377A-8943-4972-83DD-D1E9EC0AFBD1}"/>
  </bookViews>
  <sheets>
    <sheet name="FFR" sheetId="6" r:id="rId1"/>
    <sheet name="FCR-D" sheetId="1" r:id="rId2"/>
    <sheet name="FCR-N" sheetId="5" r:id="rId3"/>
    <sheet name="aFRR" sheetId="7" r:id="rId4"/>
    <sheet name="mFRR" sheetId="8" r:id="rId5"/>
    <sheet name="Effektutjämning" sheetId="4" r:id="rId6"/>
    <sheet name="Självförsörjning" sheetId="9" r:id="rId7"/>
    <sheet name="Energiarbitrage" sheetId="10" r:id="rId8"/>
    <sheet name="KIO_1" sheetId="12" r:id="rId9"/>
    <sheet name="KIO_2" sheetId="13" r:id="rId10"/>
    <sheet name="Blad1" sheetId="14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5" i="13" l="1"/>
  <c r="B26" i="12"/>
  <c r="B24" i="10"/>
  <c r="B24" i="9"/>
  <c r="B24" i="4"/>
  <c r="B24" i="8"/>
  <c r="B24" i="7"/>
  <c r="B24" i="5"/>
  <c r="B24" i="1"/>
  <c r="B24" i="6"/>
  <c r="C9" i="12"/>
  <c r="C10" i="12"/>
  <c r="D11" i="10"/>
  <c r="E11" i="10"/>
  <c r="F11" i="10"/>
  <c r="G11" i="10"/>
  <c r="H11" i="10"/>
  <c r="I11" i="10"/>
  <c r="J11" i="10"/>
  <c r="K11" i="10"/>
  <c r="L11" i="10"/>
  <c r="M11" i="10"/>
  <c r="N11" i="10"/>
  <c r="O11" i="10"/>
  <c r="P11" i="10"/>
  <c r="Q11" i="10"/>
  <c r="C11" i="10"/>
  <c r="D11" i="9"/>
  <c r="E11" i="9"/>
  <c r="F11" i="9"/>
  <c r="G11" i="9"/>
  <c r="H11" i="9"/>
  <c r="I11" i="9"/>
  <c r="J11" i="9"/>
  <c r="K11" i="9"/>
  <c r="L11" i="9"/>
  <c r="M11" i="9"/>
  <c r="M17" i="9" s="1"/>
  <c r="N11" i="9"/>
  <c r="O11" i="9"/>
  <c r="O17" i="9" s="1"/>
  <c r="P11" i="9"/>
  <c r="Q11" i="9"/>
  <c r="C11" i="9"/>
  <c r="D11" i="4"/>
  <c r="E11" i="4"/>
  <c r="F11" i="4"/>
  <c r="G11" i="4"/>
  <c r="H11" i="4"/>
  <c r="I11" i="4"/>
  <c r="J11" i="4"/>
  <c r="K11" i="4"/>
  <c r="L11" i="4"/>
  <c r="M11" i="4"/>
  <c r="N11" i="4"/>
  <c r="O11" i="4"/>
  <c r="P11" i="4"/>
  <c r="Q11" i="4"/>
  <c r="C11" i="4"/>
  <c r="D11" i="8"/>
  <c r="E11" i="8"/>
  <c r="F11" i="8"/>
  <c r="G11" i="8"/>
  <c r="H11" i="8"/>
  <c r="I11" i="8"/>
  <c r="J11" i="8"/>
  <c r="K11" i="8"/>
  <c r="L11" i="8"/>
  <c r="M11" i="8"/>
  <c r="N11" i="8"/>
  <c r="O11" i="8"/>
  <c r="P11" i="8"/>
  <c r="Q11" i="8"/>
  <c r="C11" i="8"/>
  <c r="D11" i="7"/>
  <c r="E11" i="7"/>
  <c r="F11" i="7"/>
  <c r="G11" i="7"/>
  <c r="H11" i="7"/>
  <c r="I11" i="7"/>
  <c r="J11" i="7"/>
  <c r="K11" i="7"/>
  <c r="L11" i="7"/>
  <c r="M11" i="7"/>
  <c r="N11" i="7"/>
  <c r="O11" i="7"/>
  <c r="P11" i="7"/>
  <c r="Q11" i="7"/>
  <c r="C11" i="7"/>
  <c r="D11" i="5"/>
  <c r="E11" i="5"/>
  <c r="F11" i="5"/>
  <c r="G11" i="5"/>
  <c r="H11" i="5"/>
  <c r="I11" i="5"/>
  <c r="J11" i="5"/>
  <c r="K11" i="5"/>
  <c r="L11" i="5"/>
  <c r="M11" i="5"/>
  <c r="N11" i="5"/>
  <c r="O11" i="5"/>
  <c r="P11" i="5"/>
  <c r="Q11" i="5"/>
  <c r="C11" i="5"/>
  <c r="D11" i="1"/>
  <c r="E11" i="1"/>
  <c r="F11" i="1"/>
  <c r="G11" i="1"/>
  <c r="H11" i="1"/>
  <c r="I11" i="1"/>
  <c r="J11" i="1"/>
  <c r="K11" i="1"/>
  <c r="L11" i="1"/>
  <c r="M11" i="1"/>
  <c r="N11" i="1"/>
  <c r="O11" i="1"/>
  <c r="P11" i="1"/>
  <c r="Q11" i="1"/>
  <c r="C11" i="1"/>
  <c r="D11" i="6"/>
  <c r="E11" i="6"/>
  <c r="F11" i="6"/>
  <c r="G11" i="6"/>
  <c r="H11" i="6"/>
  <c r="I11" i="6"/>
  <c r="J11" i="6"/>
  <c r="K11" i="6"/>
  <c r="L11" i="6"/>
  <c r="M11" i="6"/>
  <c r="N11" i="6"/>
  <c r="O11" i="6"/>
  <c r="P11" i="6"/>
  <c r="Q11" i="6"/>
  <c r="C11" i="6"/>
  <c r="D9" i="13"/>
  <c r="E9" i="13" s="1"/>
  <c r="F9" i="13" s="1"/>
  <c r="G9" i="13" s="1"/>
  <c r="H9" i="13" s="1"/>
  <c r="I9" i="13" s="1"/>
  <c r="J9" i="13" s="1"/>
  <c r="K9" i="13" s="1"/>
  <c r="L9" i="13" s="1"/>
  <c r="M9" i="13" s="1"/>
  <c r="N9" i="13" s="1"/>
  <c r="O9" i="13" s="1"/>
  <c r="P9" i="13" s="1"/>
  <c r="Q9" i="13" s="1"/>
  <c r="E9" i="10"/>
  <c r="F9" i="10"/>
  <c r="G9" i="10" s="1"/>
  <c r="H9" i="10" s="1"/>
  <c r="I9" i="10" s="1"/>
  <c r="J9" i="10" s="1"/>
  <c r="K9" i="10" s="1"/>
  <c r="L9" i="10" s="1"/>
  <c r="M9" i="10" s="1"/>
  <c r="N9" i="10" s="1"/>
  <c r="O9" i="10" s="1"/>
  <c r="P9" i="10" s="1"/>
  <c r="Q9" i="10" s="1"/>
  <c r="D9" i="10"/>
  <c r="E9" i="9"/>
  <c r="F9" i="9"/>
  <c r="G9" i="9" s="1"/>
  <c r="H9" i="9" s="1"/>
  <c r="I9" i="9" s="1"/>
  <c r="J9" i="9" s="1"/>
  <c r="K9" i="9" s="1"/>
  <c r="L9" i="9" s="1"/>
  <c r="M9" i="9" s="1"/>
  <c r="N9" i="9" s="1"/>
  <c r="O9" i="9" s="1"/>
  <c r="P9" i="9" s="1"/>
  <c r="Q9" i="9" s="1"/>
  <c r="D9" i="9"/>
  <c r="E9" i="4"/>
  <c r="F9" i="4"/>
  <c r="G9" i="4" s="1"/>
  <c r="H9" i="4" s="1"/>
  <c r="I9" i="4" s="1"/>
  <c r="J9" i="4" s="1"/>
  <c r="K9" i="4" s="1"/>
  <c r="L9" i="4" s="1"/>
  <c r="M9" i="4" s="1"/>
  <c r="N9" i="4" s="1"/>
  <c r="O9" i="4" s="1"/>
  <c r="P9" i="4" s="1"/>
  <c r="Q9" i="4" s="1"/>
  <c r="D9" i="4"/>
  <c r="E9" i="8"/>
  <c r="F9" i="8" s="1"/>
  <c r="G9" i="8" s="1"/>
  <c r="H9" i="8" s="1"/>
  <c r="I9" i="8" s="1"/>
  <c r="J9" i="8" s="1"/>
  <c r="K9" i="8" s="1"/>
  <c r="L9" i="8" s="1"/>
  <c r="M9" i="8" s="1"/>
  <c r="N9" i="8" s="1"/>
  <c r="O9" i="8" s="1"/>
  <c r="P9" i="8" s="1"/>
  <c r="Q9" i="8" s="1"/>
  <c r="D9" i="8"/>
  <c r="E9" i="7"/>
  <c r="F9" i="7" s="1"/>
  <c r="G9" i="7" s="1"/>
  <c r="H9" i="7" s="1"/>
  <c r="I9" i="7" s="1"/>
  <c r="J9" i="7" s="1"/>
  <c r="K9" i="7" s="1"/>
  <c r="L9" i="7" s="1"/>
  <c r="M9" i="7" s="1"/>
  <c r="N9" i="7" s="1"/>
  <c r="O9" i="7" s="1"/>
  <c r="P9" i="7" s="1"/>
  <c r="Q9" i="7" s="1"/>
  <c r="D9" i="7"/>
  <c r="E9" i="5"/>
  <c r="F9" i="5" s="1"/>
  <c r="G9" i="5" s="1"/>
  <c r="H9" i="5" s="1"/>
  <c r="I9" i="5" s="1"/>
  <c r="J9" i="5" s="1"/>
  <c r="K9" i="5" s="1"/>
  <c r="L9" i="5" s="1"/>
  <c r="M9" i="5" s="1"/>
  <c r="N9" i="5" s="1"/>
  <c r="O9" i="5" s="1"/>
  <c r="P9" i="5" s="1"/>
  <c r="Q9" i="5" s="1"/>
  <c r="D9" i="5"/>
  <c r="E9" i="1"/>
  <c r="F9" i="1" s="1"/>
  <c r="G9" i="1" s="1"/>
  <c r="H9" i="1" s="1"/>
  <c r="I9" i="1" s="1"/>
  <c r="J9" i="1" s="1"/>
  <c r="K9" i="1" s="1"/>
  <c r="L9" i="1" s="1"/>
  <c r="M9" i="1" s="1"/>
  <c r="N9" i="1" s="1"/>
  <c r="O9" i="1" s="1"/>
  <c r="P9" i="1" s="1"/>
  <c r="Q9" i="1" s="1"/>
  <c r="D9" i="1"/>
  <c r="E9" i="6"/>
  <c r="F9" i="6" s="1"/>
  <c r="G9" i="6" s="1"/>
  <c r="H9" i="6" s="1"/>
  <c r="I9" i="6" s="1"/>
  <c r="J9" i="6" s="1"/>
  <c r="K9" i="6" s="1"/>
  <c r="L9" i="6" s="1"/>
  <c r="M9" i="6" s="1"/>
  <c r="N9" i="6" s="1"/>
  <c r="O9" i="6" s="1"/>
  <c r="P9" i="6" s="1"/>
  <c r="Q9" i="6" s="1"/>
  <c r="D9" i="6"/>
  <c r="E10" i="13"/>
  <c r="F10" i="13"/>
  <c r="D10" i="13"/>
  <c r="E11" i="12"/>
  <c r="F11" i="12" s="1"/>
  <c r="G11" i="12" s="1"/>
  <c r="H11" i="12" s="1"/>
  <c r="I11" i="12" s="1"/>
  <c r="J11" i="12" s="1"/>
  <c r="K11" i="12" s="1"/>
  <c r="L11" i="12" s="1"/>
  <c r="M11" i="12" s="1"/>
  <c r="N11" i="12" s="1"/>
  <c r="O11" i="12" s="1"/>
  <c r="P11" i="12" s="1"/>
  <c r="Q11" i="12" s="1"/>
  <c r="D11" i="12"/>
  <c r="B24" i="13"/>
  <c r="Q16" i="13"/>
  <c r="P16" i="13"/>
  <c r="O16" i="13"/>
  <c r="N16" i="13"/>
  <c r="M16" i="13"/>
  <c r="L16" i="13"/>
  <c r="K16" i="13"/>
  <c r="J16" i="13"/>
  <c r="I16" i="13"/>
  <c r="H16" i="13"/>
  <c r="G16" i="13"/>
  <c r="F16" i="13"/>
  <c r="E16" i="13"/>
  <c r="D16" i="13"/>
  <c r="C16" i="13"/>
  <c r="D9" i="12"/>
  <c r="E9" i="12" s="1"/>
  <c r="F9" i="12" s="1"/>
  <c r="G9" i="12" s="1"/>
  <c r="H9" i="12" s="1"/>
  <c r="I9" i="12" s="1"/>
  <c r="J9" i="12" s="1"/>
  <c r="K9" i="12" s="1"/>
  <c r="L9" i="12" s="1"/>
  <c r="M9" i="12" s="1"/>
  <c r="N9" i="12" s="1"/>
  <c r="O9" i="12" s="1"/>
  <c r="P9" i="12" s="1"/>
  <c r="Q9" i="12" s="1"/>
  <c r="D8" i="10"/>
  <c r="E8" i="10" s="1"/>
  <c r="F8" i="10" s="1"/>
  <c r="G8" i="10" s="1"/>
  <c r="H8" i="10" s="1"/>
  <c r="I8" i="10" s="1"/>
  <c r="J8" i="10" s="1"/>
  <c r="K8" i="10" s="1"/>
  <c r="L8" i="10" s="1"/>
  <c r="M8" i="10" s="1"/>
  <c r="N8" i="10" s="1"/>
  <c r="O8" i="10" s="1"/>
  <c r="P8" i="10" s="1"/>
  <c r="Q8" i="10" s="1"/>
  <c r="B25" i="12"/>
  <c r="Q17" i="12"/>
  <c r="P17" i="12"/>
  <c r="O17" i="12"/>
  <c r="N17" i="12"/>
  <c r="M17" i="12"/>
  <c r="L17" i="12"/>
  <c r="K17" i="12"/>
  <c r="J17" i="12"/>
  <c r="I17" i="12"/>
  <c r="H17" i="12"/>
  <c r="G17" i="12"/>
  <c r="F17" i="12"/>
  <c r="E17" i="12"/>
  <c r="D17" i="12"/>
  <c r="C17" i="12"/>
  <c r="Q17" i="9"/>
  <c r="P17" i="9"/>
  <c r="Q15" i="9"/>
  <c r="P15" i="9"/>
  <c r="O15" i="9"/>
  <c r="N15" i="9"/>
  <c r="N17" i="9" s="1"/>
  <c r="M15" i="9"/>
  <c r="Q15" i="10"/>
  <c r="P15" i="10"/>
  <c r="O15" i="10"/>
  <c r="N15" i="10"/>
  <c r="M15" i="10"/>
  <c r="L15" i="10"/>
  <c r="M15" i="8"/>
  <c r="N15" i="8"/>
  <c r="O15" i="8"/>
  <c r="P15" i="8"/>
  <c r="Q15" i="8"/>
  <c r="Q15" i="7"/>
  <c r="P15" i="7"/>
  <c r="O15" i="7"/>
  <c r="N15" i="7"/>
  <c r="M15" i="7"/>
  <c r="C13" i="12" l="1"/>
  <c r="C19" i="12" s="1"/>
  <c r="C12" i="13"/>
  <c r="D10" i="12"/>
  <c r="E10" i="12" s="1"/>
  <c r="E13" i="12" s="1"/>
  <c r="E19" i="12" s="1"/>
  <c r="E12" i="13"/>
  <c r="E18" i="13" s="1"/>
  <c r="D12" i="13"/>
  <c r="D18" i="13" s="1"/>
  <c r="G10" i="13"/>
  <c r="C18" i="13"/>
  <c r="M17" i="10"/>
  <c r="F10" i="12" l="1"/>
  <c r="D13" i="12"/>
  <c r="D19" i="12" s="1"/>
  <c r="F12" i="13"/>
  <c r="F18" i="13" s="1"/>
  <c r="G10" i="12"/>
  <c r="F13" i="12"/>
  <c r="F19" i="12" s="1"/>
  <c r="G12" i="13"/>
  <c r="H10" i="13"/>
  <c r="H10" i="12"/>
  <c r="H13" i="12" s="1"/>
  <c r="H19" i="12" s="1"/>
  <c r="N17" i="10"/>
  <c r="I10" i="12" l="1"/>
  <c r="I13" i="12" s="1"/>
  <c r="I19" i="12" s="1"/>
  <c r="G13" i="12"/>
  <c r="G19" i="12" s="1"/>
  <c r="H12" i="13"/>
  <c r="I10" i="13"/>
  <c r="G18" i="13"/>
  <c r="J10" i="12"/>
  <c r="J13" i="12" s="1"/>
  <c r="O17" i="10"/>
  <c r="I12" i="13" l="1"/>
  <c r="J10" i="13"/>
  <c r="H18" i="13"/>
  <c r="K10" i="12"/>
  <c r="K13" i="12" s="1"/>
  <c r="J19" i="12"/>
  <c r="Q17" i="10"/>
  <c r="P17" i="10"/>
  <c r="J12" i="13" l="1"/>
  <c r="K10" i="13"/>
  <c r="I18" i="13"/>
  <c r="L10" i="12"/>
  <c r="L13" i="12" s="1"/>
  <c r="K19" i="12"/>
  <c r="K12" i="13" l="1"/>
  <c r="L10" i="13"/>
  <c r="J18" i="13"/>
  <c r="L19" i="12"/>
  <c r="M10" i="12"/>
  <c r="M13" i="12" s="1"/>
  <c r="M10" i="13" l="1"/>
  <c r="L12" i="13"/>
  <c r="K18" i="13"/>
  <c r="N10" i="12"/>
  <c r="N13" i="12" s="1"/>
  <c r="M19" i="12"/>
  <c r="N10" i="13" l="1"/>
  <c r="M12" i="13"/>
  <c r="L18" i="13"/>
  <c r="O10" i="12"/>
  <c r="O13" i="12" s="1"/>
  <c r="N19" i="12"/>
  <c r="N12" i="13" l="1"/>
  <c r="O10" i="13"/>
  <c r="M18" i="13"/>
  <c r="O19" i="12"/>
  <c r="P10" i="12"/>
  <c r="P13" i="12" s="1"/>
  <c r="O12" i="13" l="1"/>
  <c r="P10" i="13"/>
  <c r="N18" i="13"/>
  <c r="Q10" i="12"/>
  <c r="P19" i="12"/>
  <c r="Q13" i="12" l="1"/>
  <c r="Q19" i="12" s="1"/>
  <c r="B20" i="12" s="1"/>
  <c r="B24" i="12" s="1"/>
  <c r="P12" i="13"/>
  <c r="Q10" i="13"/>
  <c r="Q12" i="13" s="1"/>
  <c r="O18" i="13"/>
  <c r="P18" i="13" l="1"/>
  <c r="Q18" i="13" l="1"/>
  <c r="B19" i="13" s="1"/>
  <c r="B23" i="13" s="1"/>
  <c r="Q15" i="5"/>
  <c r="P15" i="5"/>
  <c r="O15" i="5"/>
  <c r="O17" i="5" s="1"/>
  <c r="N15" i="5"/>
  <c r="N17" i="5" s="1"/>
  <c r="M15" i="5"/>
  <c r="M17" i="5" s="1"/>
  <c r="Q15" i="4"/>
  <c r="P15" i="4"/>
  <c r="O15" i="4"/>
  <c r="N15" i="4"/>
  <c r="M15" i="4"/>
  <c r="O17" i="1"/>
  <c r="M17" i="1"/>
  <c r="N17" i="1"/>
  <c r="M15" i="1"/>
  <c r="N15" i="1"/>
  <c r="O15" i="1"/>
  <c r="P15" i="1"/>
  <c r="P17" i="1" s="1"/>
  <c r="Q15" i="1"/>
  <c r="Q17" i="1" s="1"/>
  <c r="Q15" i="6"/>
  <c r="P15" i="6"/>
  <c r="O15" i="6"/>
  <c r="N15" i="6"/>
  <c r="M15" i="6"/>
  <c r="N10" i="6"/>
  <c r="O10" i="6" s="1"/>
  <c r="P10" i="6" s="1"/>
  <c r="Q10" i="6" s="1"/>
  <c r="M10" i="6"/>
  <c r="K15" i="10"/>
  <c r="J15" i="10"/>
  <c r="I15" i="10"/>
  <c r="H15" i="10"/>
  <c r="G15" i="10"/>
  <c r="F15" i="10"/>
  <c r="E15" i="10"/>
  <c r="D15" i="10"/>
  <c r="C15" i="10"/>
  <c r="L15" i="9"/>
  <c r="K15" i="9"/>
  <c r="J15" i="9"/>
  <c r="I15" i="9"/>
  <c r="H15" i="9"/>
  <c r="G15" i="9"/>
  <c r="F15" i="9"/>
  <c r="E15" i="9"/>
  <c r="D15" i="9"/>
  <c r="C15" i="9"/>
  <c r="L15" i="4"/>
  <c r="K15" i="4"/>
  <c r="J15" i="4"/>
  <c r="I15" i="4"/>
  <c r="H15" i="4"/>
  <c r="G15" i="4"/>
  <c r="F15" i="4"/>
  <c r="E15" i="4"/>
  <c r="D15" i="4"/>
  <c r="C15" i="4"/>
  <c r="L15" i="8"/>
  <c r="K15" i="8"/>
  <c r="J15" i="8"/>
  <c r="I15" i="8"/>
  <c r="H15" i="8"/>
  <c r="G15" i="8"/>
  <c r="F15" i="8"/>
  <c r="E15" i="8"/>
  <c r="D15" i="8"/>
  <c r="C15" i="8"/>
  <c r="L15" i="7"/>
  <c r="K15" i="7"/>
  <c r="J15" i="7"/>
  <c r="I15" i="7"/>
  <c r="H15" i="7"/>
  <c r="G15" i="7"/>
  <c r="F15" i="7"/>
  <c r="E15" i="7"/>
  <c r="D15" i="7"/>
  <c r="C15" i="7"/>
  <c r="L15" i="5"/>
  <c r="K15" i="5"/>
  <c r="J15" i="5"/>
  <c r="I15" i="5"/>
  <c r="H15" i="5"/>
  <c r="G15" i="5"/>
  <c r="F15" i="5"/>
  <c r="E15" i="5"/>
  <c r="D15" i="5"/>
  <c r="C15" i="5"/>
  <c r="L15" i="1"/>
  <c r="K15" i="1"/>
  <c r="J15" i="1"/>
  <c r="I15" i="1"/>
  <c r="H15" i="1"/>
  <c r="G15" i="1"/>
  <c r="F15" i="1"/>
  <c r="E15" i="1"/>
  <c r="D15" i="1"/>
  <c r="C15" i="1"/>
  <c r="L15" i="6"/>
  <c r="K15" i="6"/>
  <c r="J15" i="6"/>
  <c r="I15" i="6"/>
  <c r="H15" i="6"/>
  <c r="G15" i="6"/>
  <c r="F15" i="6"/>
  <c r="E15" i="6"/>
  <c r="D15" i="6"/>
  <c r="C15" i="6"/>
  <c r="P17" i="5" l="1"/>
  <c r="Q17" i="5"/>
  <c r="C8" i="4"/>
  <c r="D8" i="4" s="1"/>
  <c r="E8" i="4" s="1"/>
  <c r="F8" i="4" s="1"/>
  <c r="G8" i="4" s="1"/>
  <c r="H8" i="4" s="1"/>
  <c r="I8" i="4" s="1"/>
  <c r="J8" i="4" s="1"/>
  <c r="K8" i="4" s="1"/>
  <c r="L8" i="4" s="1"/>
  <c r="M8" i="4" s="1"/>
  <c r="N8" i="4" s="1"/>
  <c r="O8" i="4" s="1"/>
  <c r="P8" i="4" s="1"/>
  <c r="Q8" i="4" s="1"/>
  <c r="M17" i="4" l="1"/>
  <c r="B23" i="10"/>
  <c r="L17" i="10"/>
  <c r="K17" i="10"/>
  <c r="J17" i="10"/>
  <c r="I17" i="10"/>
  <c r="H17" i="10"/>
  <c r="G17" i="10"/>
  <c r="F17" i="10"/>
  <c r="E17" i="10"/>
  <c r="D17" i="10"/>
  <c r="C17" i="10"/>
  <c r="B23" i="9"/>
  <c r="L17" i="9"/>
  <c r="K17" i="9"/>
  <c r="J17" i="9"/>
  <c r="I17" i="9"/>
  <c r="H17" i="9"/>
  <c r="G17" i="9"/>
  <c r="F17" i="9"/>
  <c r="E17" i="9"/>
  <c r="D17" i="9"/>
  <c r="C17" i="9"/>
  <c r="H17" i="4"/>
  <c r="J17" i="4"/>
  <c r="D8" i="8"/>
  <c r="E8" i="8" s="1"/>
  <c r="F8" i="8" s="1"/>
  <c r="G8" i="8" s="1"/>
  <c r="B23" i="8"/>
  <c r="D8" i="7"/>
  <c r="B23" i="7"/>
  <c r="H17" i="5"/>
  <c r="J17" i="5"/>
  <c r="F17" i="1"/>
  <c r="D8" i="6"/>
  <c r="E8" i="6" s="1"/>
  <c r="F8" i="6" s="1"/>
  <c r="G8" i="6" s="1"/>
  <c r="H8" i="6" s="1"/>
  <c r="I8" i="6" s="1"/>
  <c r="J8" i="6" s="1"/>
  <c r="K8" i="6" s="1"/>
  <c r="L8" i="6" s="1"/>
  <c r="B23" i="6"/>
  <c r="B23" i="5"/>
  <c r="B23" i="4"/>
  <c r="B23" i="1"/>
  <c r="M8" i="6" l="1"/>
  <c r="N8" i="6" s="1"/>
  <c r="O8" i="6" s="1"/>
  <c r="P8" i="6" s="1"/>
  <c r="Q8" i="6" s="1"/>
  <c r="B18" i="9"/>
  <c r="B22" i="9" s="1"/>
  <c r="N17" i="4"/>
  <c r="B18" i="10"/>
  <c r="B22" i="10" s="1"/>
  <c r="F17" i="4"/>
  <c r="G17" i="4"/>
  <c r="E17" i="6"/>
  <c r="D17" i="6"/>
  <c r="C17" i="6"/>
  <c r="H17" i="6"/>
  <c r="G17" i="6"/>
  <c r="K17" i="6"/>
  <c r="J17" i="6"/>
  <c r="I17" i="6"/>
  <c r="F17" i="6"/>
  <c r="L17" i="1"/>
  <c r="C17" i="1"/>
  <c r="I17" i="1"/>
  <c r="K17" i="1"/>
  <c r="I17" i="5"/>
  <c r="C17" i="5"/>
  <c r="D17" i="5"/>
  <c r="E8" i="7"/>
  <c r="E17" i="7" s="1"/>
  <c r="E17" i="4"/>
  <c r="I17" i="4"/>
  <c r="K17" i="4"/>
  <c r="D17" i="4"/>
  <c r="L17" i="4"/>
  <c r="C17" i="4"/>
  <c r="C17" i="8"/>
  <c r="E17" i="8"/>
  <c r="D17" i="8"/>
  <c r="C17" i="7"/>
  <c r="D17" i="7"/>
  <c r="F17" i="5"/>
  <c r="J17" i="1"/>
  <c r="G17" i="1"/>
  <c r="L17" i="6"/>
  <c r="D17" i="1"/>
  <c r="E17" i="1"/>
  <c r="H17" i="1"/>
  <c r="K17" i="5"/>
  <c r="L17" i="5"/>
  <c r="E17" i="5"/>
  <c r="G17" i="5"/>
  <c r="M17" i="6" l="1"/>
  <c r="B18" i="1"/>
  <c r="B22" i="1" s="1"/>
  <c r="B18" i="5"/>
  <c r="O17" i="4"/>
  <c r="F8" i="7"/>
  <c r="G8" i="7" s="1"/>
  <c r="G17" i="7" s="1"/>
  <c r="F17" i="8"/>
  <c r="B22" i="5"/>
  <c r="N17" i="6" l="1"/>
  <c r="P17" i="4"/>
  <c r="Q17" i="4"/>
  <c r="H8" i="7"/>
  <c r="I8" i="7" s="1"/>
  <c r="F17" i="7"/>
  <c r="G17" i="8"/>
  <c r="H8" i="8"/>
  <c r="O17" i="6" l="1"/>
  <c r="B18" i="4"/>
  <c r="B22" i="4" s="1"/>
  <c r="H17" i="7"/>
  <c r="I17" i="7"/>
  <c r="J8" i="7"/>
  <c r="H17" i="8"/>
  <c r="I8" i="8"/>
  <c r="Q17" i="6" l="1"/>
  <c r="P17" i="6"/>
  <c r="B18" i="6" s="1"/>
  <c r="B22" i="6" s="1"/>
  <c r="K8" i="7"/>
  <c r="J17" i="7"/>
  <c r="I17" i="8"/>
  <c r="J8" i="8"/>
  <c r="L8" i="7" l="1"/>
  <c r="K17" i="7"/>
  <c r="K8" i="8"/>
  <c r="J17" i="8"/>
  <c r="L17" i="7" l="1"/>
  <c r="M8" i="7"/>
  <c r="K17" i="8"/>
  <c r="L8" i="8"/>
  <c r="N8" i="7" l="1"/>
  <c r="M17" i="7"/>
  <c r="L17" i="8"/>
  <c r="M8" i="8"/>
  <c r="O8" i="7" l="1"/>
  <c r="N17" i="7"/>
  <c r="N8" i="8"/>
  <c r="M17" i="8"/>
  <c r="P8" i="7" l="1"/>
  <c r="O17" i="7"/>
  <c r="O8" i="8"/>
  <c r="N17" i="8"/>
  <c r="Q8" i="7" l="1"/>
  <c r="Q17" i="7" s="1"/>
  <c r="P17" i="7"/>
  <c r="P8" i="8"/>
  <c r="O17" i="8"/>
  <c r="B18" i="7" l="1"/>
  <c r="B22" i="7" s="1"/>
  <c r="Q8" i="8"/>
  <c r="Q17" i="8" s="1"/>
  <c r="P17" i="8"/>
  <c r="B18" i="8" l="1"/>
  <c r="B22" i="8" s="1"/>
</calcChain>
</file>

<file path=xl/sharedStrings.xml><?xml version="1.0" encoding="utf-8"?>
<sst xmlns="http://schemas.openxmlformats.org/spreadsheetml/2006/main" count="375" uniqueCount="51">
  <si>
    <t>Kalkylram</t>
  </si>
  <si>
    <t>Ekonomisk livslängd (n)</t>
  </si>
  <si>
    <t>Kalkylränta (r)</t>
  </si>
  <si>
    <t>Betalningsflöden</t>
  </si>
  <si>
    <t>År 1</t>
  </si>
  <si>
    <t>År 2</t>
  </si>
  <si>
    <t>År 3</t>
  </si>
  <si>
    <t>År 4</t>
  </si>
  <si>
    <t>År 5</t>
  </si>
  <si>
    <t>År 6</t>
  </si>
  <si>
    <t>År 7</t>
  </si>
  <si>
    <t>År 8</t>
  </si>
  <si>
    <t>År 9</t>
  </si>
  <si>
    <t>År 10</t>
  </si>
  <si>
    <t>Grundinvestering (G)</t>
  </si>
  <si>
    <t>Löpande inbetalningsöverskott (a)</t>
  </si>
  <si>
    <t>Analys</t>
  </si>
  <si>
    <t>Nuvärdesfaktor</t>
  </si>
  <si>
    <t>Grundinvestering</t>
  </si>
  <si>
    <t>Nuvärde av (a)</t>
  </si>
  <si>
    <t>Summa</t>
  </si>
  <si>
    <t>Summa nuvärde av framtida (a)</t>
  </si>
  <si>
    <t>Analysmått</t>
  </si>
  <si>
    <t xml:space="preserve"> </t>
  </si>
  <si>
    <t>Kapitalvärde</t>
  </si>
  <si>
    <t>Intäkter (kr/år)</t>
  </si>
  <si>
    <t>Driftkostnader (kr/år)</t>
  </si>
  <si>
    <t>År 0</t>
  </si>
  <si>
    <t>6 %</t>
  </si>
  <si>
    <t>15 år</t>
  </si>
  <si>
    <t>År 11</t>
  </si>
  <si>
    <t>År 12</t>
  </si>
  <si>
    <t>År 13</t>
  </si>
  <si>
    <t>År 14</t>
  </si>
  <si>
    <t>År 15</t>
  </si>
  <si>
    <t>Intäkt FCR-D (kr/år)</t>
  </si>
  <si>
    <t>Intäkt Effektutjämning (kr/år)</t>
  </si>
  <si>
    <t>Intäkt Energiarbitrage (kr/år)</t>
  </si>
  <si>
    <t>Intäkt FCR-N (kr/år)</t>
  </si>
  <si>
    <t>Kapacitetsförlust (%/år)</t>
  </si>
  <si>
    <t>Namn</t>
  </si>
  <si>
    <t>FFR</t>
  </si>
  <si>
    <t>FCR-D</t>
  </si>
  <si>
    <t>FCR-N</t>
  </si>
  <si>
    <t>aFFR</t>
  </si>
  <si>
    <t>mFRR</t>
  </si>
  <si>
    <t>Effektutjämning</t>
  </si>
  <si>
    <t>Självförsörjning</t>
  </si>
  <si>
    <t>Energiarbitrage</t>
  </si>
  <si>
    <t>Kombinerad intäkt: Scenarie 1</t>
  </si>
  <si>
    <t>Kombinerad intäkt: Scenarie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</si>
</sst>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/>
    <xf numFmtId="0" fontId="0" fillId="0" borderId="1" xfId="0" applyBorder="1"/>
    <xf numFmtId="0" fontId="1" fillId="0" borderId="2" xfId="0" applyFont="1" applyBorder="1"/>
    <xf numFmtId="49" fontId="0" fillId="0" borderId="0" xfId="0" applyNumberFormat="1"/>
    <xf numFmtId="49" fontId="0" fillId="0" borderId="1" xfId="0" applyNumberFormat="1" applyBorder="1"/>
    <xf numFmtId="3" fontId="0" fillId="0" borderId="0" xfId="0" applyNumberFormat="1"/>
    <xf numFmtId="2" fontId="0" fillId="0" borderId="0" xfId="0" applyNumberFormat="1"/>
    <xf numFmtId="2" fontId="0" fillId="0" borderId="1" xfId="0" applyNumberFormat="1" applyBorder="1"/>
    <xf numFmtId="1" fontId="0" fillId="0" borderId="0" xfId="0" applyNumberFormat="1"/>
    <xf numFmtId="1" fontId="1" fillId="0" borderId="2" xfId="0" applyNumberFormat="1" applyFont="1" applyBorder="1"/>
  </cellXfs>
  <cellStyles count="1">
    <cellStyle name="Normal" xfId="0" builtinId="0"/>
  </cellStyles>
  <dxfs count="150"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Blad1!$B$9</c:f>
              <c:strCache>
                <c:ptCount val="1"/>
                <c:pt idx="0">
                  <c:v>Kapitalvärde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F134-4AB2-B76D-37B9855B27D5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F134-4AB2-B76D-37B9855B27D5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F134-4AB2-B76D-37B9855B27D5}"/>
              </c:ext>
            </c:extLst>
          </c:dPt>
          <c:dPt>
            <c:idx val="8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F134-4AB2-B76D-37B9855B27D5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F134-4AB2-B76D-37B9855B27D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v-S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Blad1!$A$10:$A$19</c:f>
              <c:strCache>
                <c:ptCount val="10"/>
                <c:pt idx="0">
                  <c:v>FFR</c:v>
                </c:pt>
                <c:pt idx="1">
                  <c:v>FCR-D</c:v>
                </c:pt>
                <c:pt idx="2">
                  <c:v>FCR-N</c:v>
                </c:pt>
                <c:pt idx="3">
                  <c:v>aFFR</c:v>
                </c:pt>
                <c:pt idx="4">
                  <c:v>mFRR</c:v>
                </c:pt>
                <c:pt idx="5">
                  <c:v>Effektutjämning</c:v>
                </c:pt>
                <c:pt idx="6">
                  <c:v>Självförsörjning</c:v>
                </c:pt>
                <c:pt idx="7">
                  <c:v>Energiarbitrage</c:v>
                </c:pt>
                <c:pt idx="8">
                  <c:v>Kombinerad intäkt: Scenarie 1</c:v>
                </c:pt>
                <c:pt idx="9">
                  <c:v>Kombinerad intäkt: Scenarie 2</c:v>
                </c:pt>
              </c:strCache>
            </c:strRef>
          </c:cat>
          <c:val>
            <c:numRef>
              <c:f>Blad1!$B$10:$B$19</c:f>
              <c:numCache>
                <c:formatCode>0</c:formatCode>
                <c:ptCount val="10"/>
                <c:pt idx="0">
                  <c:v>-958000</c:v>
                </c:pt>
                <c:pt idx="1">
                  <c:v>-587000</c:v>
                </c:pt>
                <c:pt idx="2">
                  <c:v>-174000</c:v>
                </c:pt>
                <c:pt idx="3">
                  <c:v>-806000</c:v>
                </c:pt>
                <c:pt idx="4">
                  <c:v>-1010000</c:v>
                </c:pt>
                <c:pt idx="5">
                  <c:v>-527000</c:v>
                </c:pt>
                <c:pt idx="6">
                  <c:v>-930000</c:v>
                </c:pt>
                <c:pt idx="7">
                  <c:v>-819000</c:v>
                </c:pt>
                <c:pt idx="8">
                  <c:v>199000</c:v>
                </c:pt>
                <c:pt idx="9">
                  <c:v>81000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34-4AB2-B76D-37B9855B27D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26464639"/>
        <c:axId val="1926465599"/>
      </c:barChart>
      <c:catAx>
        <c:axId val="19264646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926465599"/>
        <c:crosses val="autoZero"/>
        <c:auto val="1"/>
        <c:lblAlgn val="ctr"/>
        <c:lblOffset val="100"/>
        <c:noMultiLvlLbl val="0"/>
      </c:catAx>
      <c:valAx>
        <c:axId val="19264655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926464639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365124</xdr:colOff>
      <xdr:row>1</xdr:row>
      <xdr:rowOff>63500</xdr:rowOff>
    </xdr:from>
    <xdr:to>
      <xdr:col>18</xdr:col>
      <xdr:colOff>203200</xdr:colOff>
      <xdr:row>21</xdr:row>
      <xdr:rowOff>6350</xdr:rowOff>
    </xdr:to>
    <xdr:graphicFrame macro="">
      <xdr:nvGraphicFramePr>
        <xdr:cNvPr id="4" name="Diagram 3">
          <a:extLst>
            <a:ext uri="{FF2B5EF4-FFF2-40B4-BE49-F238E27FC236}">
              <a16:creationId xmlns:a16="http://schemas.microsoft.com/office/drawing/2014/main" id="{6D7600E6-6C25-86B4-AF4E-873F48D0749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590CCE9-4715-4091-84D9-A0D908AC823A}" name="Tabell224" displayName="Tabell224" ref="A1:Q24" totalsRowShown="0">
  <autoFilter ref="A1:Q24" xr:uid="{C1D6F2CC-0D95-416A-AE04-F05EFD962E19}"/>
  <tableColumns count="17">
    <tableColumn id="1" xr3:uid="{D505D26E-1E61-4EDC-BEF8-1AC46C921066}" name="Kalkylram"/>
    <tableColumn id="2" xr3:uid="{6A229197-53C1-40EB-8BBF-00E8D66DCECF}" name="År 0"/>
    <tableColumn id="3" xr3:uid="{4C08FF24-33AD-4C84-BED1-E804ABD366A7}" name="År 1" dataDxfId="149">
      <calculatedColumnFormula>(1+0.1)^-1</calculatedColumnFormula>
    </tableColumn>
    <tableColumn id="4" xr3:uid="{8BCEF58C-5E85-42D6-8F58-5E46E160273C}" name="År 2" dataDxfId="148">
      <calculatedColumnFormula>(1+0.1)^-2</calculatedColumnFormula>
    </tableColumn>
    <tableColumn id="5" xr3:uid="{DF287BF4-BC31-4622-9029-9CFF9AEA2C2E}" name="År 3" dataDxfId="147">
      <calculatedColumnFormula>(1+0.1)^-3</calculatedColumnFormula>
    </tableColumn>
    <tableColumn id="6" xr3:uid="{C1CC69E6-00A8-4E52-AD43-4E4BE8591FC0}" name="År 4" dataDxfId="146">
      <calculatedColumnFormula>(1+0.1)^-4</calculatedColumnFormula>
    </tableColumn>
    <tableColumn id="7" xr3:uid="{85400724-3986-428A-AF1F-87343A0B5ACA}" name="År 5" dataDxfId="145">
      <calculatedColumnFormula>(1+0.1)^-5</calculatedColumnFormula>
    </tableColumn>
    <tableColumn id="8" xr3:uid="{B5CA581E-91F6-4E73-BE1A-EC2FA6F7D4B7}" name="År 6" dataDxfId="144">
      <calculatedColumnFormula>(1+0.1)^-6</calculatedColumnFormula>
    </tableColumn>
    <tableColumn id="9" xr3:uid="{3BA573A6-C05D-42FE-ADBF-8A641D659F4F}" name="År 7" dataDxfId="143">
      <calculatedColumnFormula>(1+0.1)^-7</calculatedColumnFormula>
    </tableColumn>
    <tableColumn id="10" xr3:uid="{08312650-B4CB-475E-8930-FF951BDB555A}" name="År 8" dataDxfId="142">
      <calculatedColumnFormula>(1+0.1)^-8</calculatedColumnFormula>
    </tableColumn>
    <tableColumn id="24" xr3:uid="{B747D4CD-6CF1-426A-8767-68D35AC0DCD7}" name="År 9" dataDxfId="141">
      <calculatedColumnFormula>(1+0.08)^-9</calculatedColumnFormula>
    </tableColumn>
    <tableColumn id="25" xr3:uid="{8DFD1EB9-61E6-42B2-8C94-B6BC86DE5DB3}" name="År 10" dataDxfId="140">
      <calculatedColumnFormula>(1+0.08)^-10</calculatedColumnFormula>
    </tableColumn>
    <tableColumn id="11" xr3:uid="{22029210-68BE-49B3-868C-8EADEB668356}" name="År 11" dataDxfId="139">
      <calculatedColumnFormula>Tabell224[[#This Row],[År 10]]</calculatedColumnFormula>
    </tableColumn>
    <tableColumn id="12" xr3:uid="{E89724E7-F623-4AA4-88F2-B5479701ABC6}" name="År 12" dataDxfId="138"/>
    <tableColumn id="13" xr3:uid="{F7B1C8E1-8EC0-40BC-BC07-50F3FC5D79A3}" name="År 13" dataDxfId="137"/>
    <tableColumn id="14" xr3:uid="{06AFB8D4-B176-4DBE-9B7A-30356D6FF4EA}" name="År 14" dataDxfId="136"/>
    <tableColumn id="15" xr3:uid="{FE3D83CE-AA7E-4B39-B0B8-F8BB0957ED1B}" name="År 15" dataDxfId="135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1D6F2CC-0D95-416A-AE04-F05EFD962E19}" name="Tabell2" displayName="Tabell2" ref="A1:Q24" totalsRowShown="0">
  <autoFilter ref="A1:Q24" xr:uid="{C1D6F2CC-0D95-416A-AE04-F05EFD962E19}"/>
  <tableColumns count="17">
    <tableColumn id="1" xr3:uid="{50479549-14E1-49B7-803B-B3B249A00AB6}" name="Kalkylram"/>
    <tableColumn id="2" xr3:uid="{68C8E6EB-C872-472B-8FAC-EAD95171F0DF}" name=" "/>
    <tableColumn id="3" xr3:uid="{691CB26F-05CE-4347-A1CD-B1F886A540C6}" name="År 1" dataDxfId="134">
      <calculatedColumnFormula>(1+0.1)^-1</calculatedColumnFormula>
    </tableColumn>
    <tableColumn id="4" xr3:uid="{38CD4DCA-3724-4600-8302-2F122E77D933}" name="År 2" dataDxfId="133">
      <calculatedColumnFormula>(1+0.1)^-2</calculatedColumnFormula>
    </tableColumn>
    <tableColumn id="5" xr3:uid="{6AC92ED3-672C-4A65-A238-9B94C9AB1172}" name="År 3" dataDxfId="132">
      <calculatedColumnFormula>(1+0.1)^-3</calculatedColumnFormula>
    </tableColumn>
    <tableColumn id="6" xr3:uid="{7199E698-4434-49DD-80E4-83F6290E8971}" name="År 4" dataDxfId="131">
      <calculatedColumnFormula>(1+0.1)^-4</calculatedColumnFormula>
    </tableColumn>
    <tableColumn id="7" xr3:uid="{C381668E-2E7D-4C1C-A811-6293BFD90964}" name="År 5" dataDxfId="130">
      <calculatedColumnFormula>(1+0.1)^-5</calculatedColumnFormula>
    </tableColumn>
    <tableColumn id="8" xr3:uid="{D035E68B-AC03-43CE-992A-332D5AAB9B4B}" name="År 6" dataDxfId="129">
      <calculatedColumnFormula>(1+0.1)^-6</calculatedColumnFormula>
    </tableColumn>
    <tableColumn id="9" xr3:uid="{6894356B-483C-40F2-92EF-F2D7EDD51826}" name="År 7" dataDxfId="128">
      <calculatedColumnFormula>(1+0.1)^-7</calculatedColumnFormula>
    </tableColumn>
    <tableColumn id="10" xr3:uid="{E307F009-1101-4921-9AF9-1FC8174352FE}" name="År 8" dataDxfId="127">
      <calculatedColumnFormula>(1+0.1)^-8</calculatedColumnFormula>
    </tableColumn>
    <tableColumn id="24" xr3:uid="{52A3B024-91E2-44D2-835C-F9C479DAE2D8}" name="År 9" dataDxfId="126">
      <calculatedColumnFormula>(1+0.08)^-9</calculatedColumnFormula>
    </tableColumn>
    <tableColumn id="25" xr3:uid="{9A9B0B7A-E180-4C93-BB25-4880D6B9E7C9}" name="År 10" dataDxfId="125">
      <calculatedColumnFormula>(1+0.08)^-10</calculatedColumnFormula>
    </tableColumn>
    <tableColumn id="11" xr3:uid="{7E498E06-3E78-4F02-B30A-37AB5592E140}" name="År 11" dataDxfId="124">
      <calculatedColumnFormula>(1+0.06)^-11</calculatedColumnFormula>
    </tableColumn>
    <tableColumn id="12" xr3:uid="{8C8BC392-1B2F-4F70-9D17-224A7E1BF01B}" name="År 12" dataDxfId="123">
      <calculatedColumnFormula>(1+0.06)^-12</calculatedColumnFormula>
    </tableColumn>
    <tableColumn id="13" xr3:uid="{47E28160-2CF1-4977-9AFF-DCE93E7AC526}" name="År 13" dataDxfId="122">
      <calculatedColumnFormula>(1+0.06)^-13</calculatedColumnFormula>
    </tableColumn>
    <tableColumn id="14" xr3:uid="{4ADF6325-73CE-4C42-ADA6-C1D5C66DDCD0}" name="År 14" dataDxfId="121">
      <calculatedColumnFormula>(1+0.06)^-14</calculatedColumnFormula>
    </tableColumn>
    <tableColumn id="15" xr3:uid="{7E37DFA7-0AC6-4E46-95C9-2BE82A526B5E}" name="År 15" dataDxfId="120">
      <calculatedColumnFormula>(1+0.06)^-15</calculatedColumnFormula>
    </tableColumn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37D1829-EBE6-4DC1-896D-5829F0CB5827}" name="Tabell22" displayName="Tabell22" ref="A1:Q24" totalsRowShown="0">
  <autoFilter ref="A1:Q24" xr:uid="{C1D6F2CC-0D95-416A-AE04-F05EFD962E19}"/>
  <tableColumns count="17">
    <tableColumn id="1" xr3:uid="{055BA29B-B738-4120-90DA-F6B65F640355}" name="Kalkylram"/>
    <tableColumn id="2" xr3:uid="{210038CF-D761-4445-9817-3414D14E8B7C}" name=" "/>
    <tableColumn id="3" xr3:uid="{D883CCF7-8700-4E12-9FF1-33AA8A216C24}" name="År 1" dataDxfId="119">
      <calculatedColumnFormula>(1+0.1)^-1</calculatedColumnFormula>
    </tableColumn>
    <tableColumn id="4" xr3:uid="{8D52C0FF-6943-49A1-B7E3-468C57E363CE}" name="År 2" dataDxfId="118">
      <calculatedColumnFormula>(1+0.1)^-2</calculatedColumnFormula>
    </tableColumn>
    <tableColumn id="5" xr3:uid="{81BFB123-CEA3-4E05-95AA-7DC4DDD5DBE2}" name="År 3" dataDxfId="117">
      <calculatedColumnFormula>(1+0.1)^-3</calculatedColumnFormula>
    </tableColumn>
    <tableColumn id="6" xr3:uid="{243E27EA-8A2F-4639-9ACE-A9D9B4054096}" name="År 4" dataDxfId="116">
      <calculatedColumnFormula>(1+0.1)^-4</calculatedColumnFormula>
    </tableColumn>
    <tableColumn id="7" xr3:uid="{1DB003A3-6C4B-49F3-9E29-0B261B751539}" name="År 5" dataDxfId="115">
      <calculatedColumnFormula>(1+0.1)^-5</calculatedColumnFormula>
    </tableColumn>
    <tableColumn id="8" xr3:uid="{38FE0786-C39F-414B-A23E-43010271CE3C}" name="År 6" dataDxfId="114">
      <calculatedColumnFormula>(1+0.1)^-6</calculatedColumnFormula>
    </tableColumn>
    <tableColumn id="9" xr3:uid="{29BE737C-0437-4F23-B874-04F7B78A38AC}" name="År 7" dataDxfId="113">
      <calculatedColumnFormula>(1+0.1)^-7</calculatedColumnFormula>
    </tableColumn>
    <tableColumn id="10" xr3:uid="{858BC455-93D2-438B-BBD1-18222EA92B92}" name="År 8" dataDxfId="112">
      <calculatedColumnFormula>(1+0.1)^-8</calculatedColumnFormula>
    </tableColumn>
    <tableColumn id="24" xr3:uid="{B8A43BE0-9983-4BDB-AFC2-AEB3D306A2C7}" name="År 9" dataDxfId="111">
      <calculatedColumnFormula>(1+0.08)^-9</calculatedColumnFormula>
    </tableColumn>
    <tableColumn id="25" xr3:uid="{40D15DC5-CE6A-4DCF-946B-C2E3E2ACB820}" name="År 10" dataDxfId="110">
      <calculatedColumnFormula>(1+0.08)^-10</calculatedColumnFormula>
    </tableColumn>
    <tableColumn id="11" xr3:uid="{4870A258-3DCD-4D2B-A51B-B7309BF0324C}" name="År 11" dataDxfId="109"/>
    <tableColumn id="12" xr3:uid="{C5425927-1D47-4C4A-BE96-550388A0EDC1}" name="År 12" dataDxfId="108"/>
    <tableColumn id="13" xr3:uid="{5854BB38-6B49-4BA1-8F9E-1626B2041310}" name="År 13" dataDxfId="107"/>
    <tableColumn id="14" xr3:uid="{CC48BA86-3B08-4514-8C12-E9D8FBD087F1}" name="År 14" dataDxfId="106"/>
    <tableColumn id="15" xr3:uid="{61D3E4CD-800D-4B4B-ABDB-3063ACEE615E}" name="År 15" dataDxfId="105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595A761-0B03-4697-BA60-D0FDA5B62AF8}" name="Tabell226" displayName="Tabell226" ref="A1:Q24" totalsRowShown="0">
  <autoFilter ref="A1:Q24" xr:uid="{C1D6F2CC-0D95-416A-AE04-F05EFD962E19}"/>
  <tableColumns count="17">
    <tableColumn id="1" xr3:uid="{10BC79E2-6796-466E-8F83-885F50330BF5}" name="Kalkylram"/>
    <tableColumn id="2" xr3:uid="{6877FDFE-D37F-4D5C-ACB3-D82BD2E58996}" name=" "/>
    <tableColumn id="3" xr3:uid="{41341314-3F7E-4AF3-AB0B-A4AA39C30C1D}" name="År 1" dataDxfId="104">
      <calculatedColumnFormula>(1+0.1)^-1</calculatedColumnFormula>
    </tableColumn>
    <tableColumn id="4" xr3:uid="{EA6DD60B-1B5B-4E1B-BD82-2BFB645F17C4}" name="År 2" dataDxfId="103">
      <calculatedColumnFormula>(1+0.1)^-2</calculatedColumnFormula>
    </tableColumn>
    <tableColumn id="5" xr3:uid="{2CE07149-833C-4F37-9642-95601AF0CBA1}" name="År 3" dataDxfId="102">
      <calculatedColumnFormula>(1+0.1)^-3</calculatedColumnFormula>
    </tableColumn>
    <tableColumn id="6" xr3:uid="{78AD6975-D754-4DE1-897F-C427405D7219}" name="År 4" dataDxfId="101">
      <calculatedColumnFormula>(1+0.1)^-4</calculatedColumnFormula>
    </tableColumn>
    <tableColumn id="7" xr3:uid="{6C923BAC-018D-4E9B-B585-AFF72341CEB4}" name="År 5" dataDxfId="100">
      <calculatedColumnFormula>(1+0.1)^-5</calculatedColumnFormula>
    </tableColumn>
    <tableColumn id="8" xr3:uid="{86E0B868-4EE4-40F3-AED5-63F5B98C118B}" name="År 6" dataDxfId="99">
      <calculatedColumnFormula>(1+0.1)^-6</calculatedColumnFormula>
    </tableColumn>
    <tableColumn id="9" xr3:uid="{C14FFBB2-C300-410D-922B-6570040F8FCE}" name="År 7" dataDxfId="98">
      <calculatedColumnFormula>(1+0.1)^-7</calculatedColumnFormula>
    </tableColumn>
    <tableColumn id="10" xr3:uid="{24545FA9-0057-4FC4-8C7F-57770A2DA790}" name="År 8" dataDxfId="97">
      <calculatedColumnFormula>(1+0.1)^-8</calculatedColumnFormula>
    </tableColumn>
    <tableColumn id="24" xr3:uid="{F5FABA42-F05A-4516-ADD8-B2087E861AA6}" name="År 9" dataDxfId="96">
      <calculatedColumnFormula>(1+0.08)^-9</calculatedColumnFormula>
    </tableColumn>
    <tableColumn id="25" xr3:uid="{4A076182-D2C5-4EB7-B7E4-E6363035D854}" name="År 10" dataDxfId="95">
      <calculatedColumnFormula>(1+0.08)^-10</calculatedColumnFormula>
    </tableColumn>
    <tableColumn id="11" xr3:uid="{2D94FBCC-1447-48D7-8467-FFAEC3E43F37}" name="År 11" dataDxfId="94">
      <calculatedColumnFormula>(1+0.06)^-11</calculatedColumnFormula>
    </tableColumn>
    <tableColumn id="12" xr3:uid="{EF941B4C-F9DC-4652-B43A-AA49C779873C}" name="År 12" dataDxfId="93">
      <calculatedColumnFormula>(1+0.06)^-12</calculatedColumnFormula>
    </tableColumn>
    <tableColumn id="13" xr3:uid="{31F13944-CA5E-4F57-8E1F-EF28BB19EC2A}" name="År 13" dataDxfId="92">
      <calculatedColumnFormula>(1+0.06)^-13</calculatedColumnFormula>
    </tableColumn>
    <tableColumn id="14" xr3:uid="{EE2776F6-CA45-4FB2-9B3C-3C821E91E981}" name="År 14" dataDxfId="91">
      <calculatedColumnFormula>(1+0.06)^-14</calculatedColumnFormula>
    </tableColumn>
    <tableColumn id="15" xr3:uid="{A7152B8D-FACD-4E1C-A9F2-6CA6DF1B596C}" name="År 15" dataDxfId="90">
      <calculatedColumnFormula>(1+0.06)^-15</calculatedColumnFormula>
    </tableColumn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CF3A14A5-0DA7-4A67-BF45-5BFE40C3D34F}" name="Tabell2267" displayName="Tabell2267" ref="A1:Q24" totalsRowShown="0">
  <autoFilter ref="A1:Q24" xr:uid="{C1D6F2CC-0D95-416A-AE04-F05EFD962E19}"/>
  <tableColumns count="17">
    <tableColumn id="1" xr3:uid="{B0B5C33C-9F56-4FB0-8DA2-7A3B07ECC497}" name="Kalkylram"/>
    <tableColumn id="2" xr3:uid="{D72E534A-2E5B-407D-B185-557BC195D602}" name=" "/>
    <tableColumn id="3" xr3:uid="{CCA8F10B-48EE-41DD-BEA2-796E2EBBEDEE}" name="År 1" dataDxfId="89">
      <calculatedColumnFormula>(1+0.1)^-1</calculatedColumnFormula>
    </tableColumn>
    <tableColumn id="4" xr3:uid="{35417443-DF01-472C-A5B0-5F944640EF9C}" name="År 2" dataDxfId="88">
      <calculatedColumnFormula>(1+0.1)^-2</calculatedColumnFormula>
    </tableColumn>
    <tableColumn id="5" xr3:uid="{ABB40C9E-5C48-4F3A-BAA4-E103425BFB0C}" name="År 3" dataDxfId="87">
      <calculatedColumnFormula>(1+0.1)^-3</calculatedColumnFormula>
    </tableColumn>
    <tableColumn id="6" xr3:uid="{BE4EFAEF-14C4-48A6-8960-9240FA8E6BE5}" name="År 4" dataDxfId="86">
      <calculatedColumnFormula>(1+0.1)^-4</calculatedColumnFormula>
    </tableColumn>
    <tableColumn id="7" xr3:uid="{11F63ED6-0E75-4473-8361-96BC8DD951DF}" name="År 5" dataDxfId="85">
      <calculatedColumnFormula>(1+0.1)^-5</calculatedColumnFormula>
    </tableColumn>
    <tableColumn id="8" xr3:uid="{F5013549-11F7-4C66-88FB-158889ECD1E2}" name="År 6" dataDxfId="84">
      <calculatedColumnFormula>(1+0.1)^-6</calculatedColumnFormula>
    </tableColumn>
    <tableColumn id="9" xr3:uid="{C5F24C0A-36C8-4878-AFDE-EAA2C03F3DED}" name="År 7" dataDxfId="83">
      <calculatedColumnFormula>(1+0.1)^-7</calculatedColumnFormula>
    </tableColumn>
    <tableColumn id="10" xr3:uid="{F14721E2-4BF4-4F80-BA8E-0A2C1F634EF2}" name="År 8" dataDxfId="82">
      <calculatedColumnFormula>(1+0.1)^-8</calculatedColumnFormula>
    </tableColumn>
    <tableColumn id="24" xr3:uid="{4A29BDF8-CE1D-4FCE-907F-959ED5FFF900}" name="År 9" dataDxfId="81">
      <calculatedColumnFormula>(1+0.08)^-9</calculatedColumnFormula>
    </tableColumn>
    <tableColumn id="25" xr3:uid="{7D991882-39CF-47E7-86C3-99B66C9E622C}" name="År 10" dataDxfId="80">
      <calculatedColumnFormula>(1+0.08)^-10</calculatedColumnFormula>
    </tableColumn>
    <tableColumn id="11" xr3:uid="{973EE945-F353-404C-BE88-B5D7ED52145A}" name="År 11" dataDxfId="79"/>
    <tableColumn id="12" xr3:uid="{5D89ADE5-59E4-4B1C-9D8C-2F69851CC97E}" name="År 12" dataDxfId="78"/>
    <tableColumn id="13" xr3:uid="{3A17631E-5E3C-4DA0-BCE6-7026CA4B1E2C}" name="År 13" dataDxfId="77"/>
    <tableColumn id="14" xr3:uid="{BCE119A4-68D4-4DAE-8D12-BB794F393BB8}" name="År 14" dataDxfId="76"/>
    <tableColumn id="15" xr3:uid="{48787F1D-7985-4F38-BA29-2B7537AF327E}" name="År 15" dataDxfId="75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419E5EE1-2BB1-4666-BADA-C6DB9466FC81}" name="Tabell25" displayName="Tabell25" ref="A1:Q24" totalsRowShown="0">
  <autoFilter ref="A1:Q24" xr:uid="{C1D6F2CC-0D95-416A-AE04-F05EFD962E19}"/>
  <tableColumns count="17">
    <tableColumn id="1" xr3:uid="{C61963F3-CB38-4554-8477-E006B8290DEE}" name="Kalkylram"/>
    <tableColumn id="2" xr3:uid="{98E281F0-0EA3-40A5-891A-8E8AD1073A4F}" name=" "/>
    <tableColumn id="3" xr3:uid="{A5B8F385-3B3D-41A3-BB62-CCE3826BB62F}" name="År 1" dataDxfId="74">
      <calculatedColumnFormula>(1+0.1)^-1</calculatedColumnFormula>
    </tableColumn>
    <tableColumn id="4" xr3:uid="{AB92FB3F-23BA-464E-ACF0-EC46BDA8A68F}" name="År 2" dataDxfId="73">
      <calculatedColumnFormula>(1+0.1)^-2</calculatedColumnFormula>
    </tableColumn>
    <tableColumn id="5" xr3:uid="{69038022-BD91-4D27-9F69-DD47FFF3DD57}" name="År 3" dataDxfId="72">
      <calculatedColumnFormula>(1+0.1)^-3</calculatedColumnFormula>
    </tableColumn>
    <tableColumn id="6" xr3:uid="{CAFE1DE0-4FAB-4F4B-8ED7-6C27D106D0A7}" name="År 4" dataDxfId="71">
      <calculatedColumnFormula>(1+0.1)^-4</calculatedColumnFormula>
    </tableColumn>
    <tableColumn id="7" xr3:uid="{34EE21DA-4A75-42F9-BD93-14F97FCEA478}" name="År 5" dataDxfId="70">
      <calculatedColumnFormula>(1+0.1)^-5</calculatedColumnFormula>
    </tableColumn>
    <tableColumn id="8" xr3:uid="{A501C948-FF1E-4AB5-8B2D-4AC82564439B}" name="År 6" dataDxfId="69">
      <calculatedColumnFormula>(1+0.1)^-6</calculatedColumnFormula>
    </tableColumn>
    <tableColumn id="9" xr3:uid="{682D6021-6273-4ACE-8BE6-B0CE1B63855C}" name="År 7" dataDxfId="68">
      <calculatedColumnFormula>(1+0.1)^-7</calculatedColumnFormula>
    </tableColumn>
    <tableColumn id="10" xr3:uid="{810AA536-4C5A-475A-8DC9-4B7D430E013B}" name="År 8" dataDxfId="67">
      <calculatedColumnFormula>(1+0.1)^-8</calculatedColumnFormula>
    </tableColumn>
    <tableColumn id="24" xr3:uid="{8F8F7005-48C9-4D9B-A4B8-EF3CEC014253}" name="År 9" dataDxfId="66">
      <calculatedColumnFormula>(1+0.08)^-9</calculatedColumnFormula>
    </tableColumn>
    <tableColumn id="25" xr3:uid="{5BE83DAB-8754-4442-AC41-17AF02DC8D72}" name="År 10" dataDxfId="65">
      <calculatedColumnFormula>(1+0.08)^-10</calculatedColumnFormula>
    </tableColumn>
    <tableColumn id="11" xr3:uid="{1A04F8C8-3920-4109-B8D0-ED26BAEFCD21}" name="År 11" dataDxfId="64"/>
    <tableColumn id="12" xr3:uid="{050D890E-5709-469B-A104-2507B7B33C10}" name="År 12" dataDxfId="63"/>
    <tableColumn id="13" xr3:uid="{58889ACD-9A7D-44C8-9509-296DD818796E}" name="År 13" dataDxfId="62"/>
    <tableColumn id="14" xr3:uid="{2E5F4166-1551-4232-9FE8-63735B6685F4}" name="År 14" dataDxfId="61"/>
    <tableColumn id="15" xr3:uid="{90F62373-CBAD-4000-89FC-427C88DD2E3E}" name="År 15" dataDxfId="60"/>
  </tableColumns>
  <tableStyleInfo name="TableStyleMedium5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17CA1AE5-1B8C-415E-BB72-3308209C3CCC}" name="Tabell258" displayName="Tabell258" ref="A1:Q24" totalsRowShown="0">
  <autoFilter ref="A1:Q24" xr:uid="{C1D6F2CC-0D95-416A-AE04-F05EFD962E19}"/>
  <tableColumns count="17">
    <tableColumn id="1" xr3:uid="{B548955A-D25A-43FE-99E2-FD6B624DFC4A}" name="Kalkylram"/>
    <tableColumn id="2" xr3:uid="{FEE6A479-1D2D-45D3-A1A0-B3E8992DDBA0}" name=" "/>
    <tableColumn id="3" xr3:uid="{561B6AAD-B0D4-4018-9999-E04883B5E8B6}" name="År 1" dataDxfId="59">
      <calculatedColumnFormula>(1+0.1)^-1</calculatedColumnFormula>
    </tableColumn>
    <tableColumn id="4" xr3:uid="{66A420EC-D993-4566-8761-1433FEA6A8AD}" name="År 2" dataDxfId="58">
      <calculatedColumnFormula>(1+0.1)^-2</calculatedColumnFormula>
    </tableColumn>
    <tableColumn id="5" xr3:uid="{C640A1BF-5263-4E7F-B160-5EAA5B1FE7AA}" name="År 3" dataDxfId="57">
      <calculatedColumnFormula>(1+0.1)^-3</calculatedColumnFormula>
    </tableColumn>
    <tableColumn id="6" xr3:uid="{6D831BD3-A735-497E-800E-9805836FB210}" name="År 4" dataDxfId="56">
      <calculatedColumnFormula>(1+0.1)^-4</calculatedColumnFormula>
    </tableColumn>
    <tableColumn id="7" xr3:uid="{4EB13B9B-56D6-4FC5-853B-E0C92533C732}" name="År 5" dataDxfId="55">
      <calculatedColumnFormula>(1+0.1)^-5</calculatedColumnFormula>
    </tableColumn>
    <tableColumn id="8" xr3:uid="{39F1B2D0-4C0F-490E-BD47-34CE0F6A89B5}" name="År 6" dataDxfId="54">
      <calculatedColumnFormula>(1+0.1)^-6</calculatedColumnFormula>
    </tableColumn>
    <tableColumn id="9" xr3:uid="{56FC3CC7-1BEE-41D9-A898-8592E7498CC1}" name="År 7" dataDxfId="53">
      <calculatedColumnFormula>(1+0.1)^-7</calculatedColumnFormula>
    </tableColumn>
    <tableColumn id="10" xr3:uid="{C3BF613E-AE48-4719-93AB-DFF55E3335C6}" name="År 8" dataDxfId="52">
      <calculatedColumnFormula>(1+0.1)^-8</calculatedColumnFormula>
    </tableColumn>
    <tableColumn id="24" xr3:uid="{78322B5E-63E0-4524-8E6D-F40D573326AC}" name="År 9" dataDxfId="51">
      <calculatedColumnFormula>(1+0.08)^-9</calculatedColumnFormula>
    </tableColumn>
    <tableColumn id="25" xr3:uid="{E45A960F-535C-4F1F-8F65-0CCE8A9E6F24}" name="År 10" dataDxfId="50">
      <calculatedColumnFormula>(1+0.08)^-10</calculatedColumnFormula>
    </tableColumn>
    <tableColumn id="11" xr3:uid="{FF692E4B-2104-4A9A-ADFA-ACF1AE10D0DB}" name="År 11" dataDxfId="49">
      <calculatedColumnFormula>(1+0.06)^-11</calculatedColumnFormula>
    </tableColumn>
    <tableColumn id="12" xr3:uid="{7425F915-DEA5-4E11-98A7-E06B02133489}" name="År 12" dataDxfId="48">
      <calculatedColumnFormula>(1+0.06)^-12</calculatedColumnFormula>
    </tableColumn>
    <tableColumn id="13" xr3:uid="{6185A3BD-95BE-4D93-89E1-365D83F04942}" name="År 13" dataDxfId="47">
      <calculatedColumnFormula>(1+0.06)^-13</calculatedColumnFormula>
    </tableColumn>
    <tableColumn id="14" xr3:uid="{FEA703F3-3595-40AA-8FE9-93852F853F9A}" name="År 14" dataDxfId="46">
      <calculatedColumnFormula>(1+0.06)^-14</calculatedColumnFormula>
    </tableColumn>
    <tableColumn id="15" xr3:uid="{A5861812-1212-4BFE-A0AA-8F1C4C1D6517}" name="År 15" dataDxfId="45">
      <calculatedColumnFormula>(1+0.06)^-15</calculatedColumnFormula>
    </tableColumn>
  </tableColumns>
  <tableStyleInfo name="TableStyleMedium3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37DD05B6-A9F1-44A7-9127-99967F17DAB5}" name="Tabell2589" displayName="Tabell2589" ref="A1:Q24" totalsRowShown="0">
  <autoFilter ref="A1:Q24" xr:uid="{C1D6F2CC-0D95-416A-AE04-F05EFD962E19}"/>
  <tableColumns count="17">
    <tableColumn id="1" xr3:uid="{8CE55A7C-5AD2-4CF7-A153-2C5C4FFCA950}" name="Kalkylram"/>
    <tableColumn id="2" xr3:uid="{980839C4-C0A4-438C-9770-A60110551827}" name=" "/>
    <tableColumn id="3" xr3:uid="{623A1E92-2715-4774-9FBF-7CC99F2CE2F4}" name="År 1" dataDxfId="44">
      <calculatedColumnFormula>(1+0.1)^-1</calculatedColumnFormula>
    </tableColumn>
    <tableColumn id="4" xr3:uid="{4775EF8E-E9D3-4655-BB6B-418180300463}" name="År 2" dataDxfId="43">
      <calculatedColumnFormula>(1+0.1)^-2</calculatedColumnFormula>
    </tableColumn>
    <tableColumn id="5" xr3:uid="{0B4FDAC7-7163-4B6F-B021-9B41DD33A13D}" name="År 3" dataDxfId="42">
      <calculatedColumnFormula>(1+0.1)^-3</calculatedColumnFormula>
    </tableColumn>
    <tableColumn id="6" xr3:uid="{D44F91BA-2761-44F5-B9E4-987252196B6F}" name="År 4" dataDxfId="41">
      <calculatedColumnFormula>(1+0.1)^-4</calculatedColumnFormula>
    </tableColumn>
    <tableColumn id="7" xr3:uid="{CA5C4B7B-9A07-44DC-88B5-EBBE8B259F4B}" name="År 5" dataDxfId="40">
      <calculatedColumnFormula>(1+0.1)^-5</calculatedColumnFormula>
    </tableColumn>
    <tableColumn id="8" xr3:uid="{E110E0B0-3976-428A-BA3F-AD18FB8F9F1D}" name="År 6" dataDxfId="39">
      <calculatedColumnFormula>(1+0.1)^-6</calculatedColumnFormula>
    </tableColumn>
    <tableColumn id="9" xr3:uid="{D28C8806-17DD-45E5-A759-55E72B23275E}" name="År 7" dataDxfId="38">
      <calculatedColumnFormula>(1+0.1)^-7</calculatedColumnFormula>
    </tableColumn>
    <tableColumn id="10" xr3:uid="{FF30EAE2-F940-4445-A624-A120634E5E3D}" name="År 8" dataDxfId="37">
      <calculatedColumnFormula>(1+0.1)^-8</calculatedColumnFormula>
    </tableColumn>
    <tableColumn id="24" xr3:uid="{3BF4FED1-D45C-4A66-9E49-1F9E6B4C2D3A}" name="År 9" dataDxfId="36">
      <calculatedColumnFormula>(1+0.08)^-9</calculatedColumnFormula>
    </tableColumn>
    <tableColumn id="25" xr3:uid="{1A6B21AA-E5A8-4A47-92C7-4301C3FB8122}" name="År 10" dataDxfId="35">
      <calculatedColumnFormula>(1+0.08)^-10</calculatedColumnFormula>
    </tableColumn>
    <tableColumn id="11" xr3:uid="{57956936-FD1E-4180-B14E-FEAF880C93D3}" name="År 11" dataDxfId="34"/>
    <tableColumn id="12" xr3:uid="{5AAF6CE8-3308-4604-AF64-2C7D05E075F9}" name="År 12" dataDxfId="33"/>
    <tableColumn id="13" xr3:uid="{3B6A9694-59B7-4EDE-BBEA-8A1D8E06C27C}" name="År 13" dataDxfId="32"/>
    <tableColumn id="14" xr3:uid="{2F338F8E-6D45-43A7-A51D-59FC69811258}" name="År 14" dataDxfId="31"/>
    <tableColumn id="15" xr3:uid="{21F3581E-5F30-4431-A8B1-768D53C5C2C8}" name="År 15" dataDxfId="30"/>
  </tableColumns>
  <tableStyleInfo name="TableStyleMedium6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D67ECC4B-E15A-4B15-8869-196800EA07C6}" name="Tabell258910" displayName="Tabell258910" ref="A1:Q26" totalsRowShown="0">
  <autoFilter ref="A1:Q26" xr:uid="{C1D6F2CC-0D95-416A-AE04-F05EFD962E19}"/>
  <tableColumns count="17">
    <tableColumn id="1" xr3:uid="{821B59A4-9CCE-46A2-BD8E-A6CBCF7C74DD}" name="Kalkylram"/>
    <tableColumn id="2" xr3:uid="{B38428DE-AB8B-4440-8CD2-302749CAD8D3}" name=" "/>
    <tableColumn id="3" xr3:uid="{7DC92B0B-A301-4979-875B-7DF973FF20A3}" name="År 1" dataDxfId="29">
      <calculatedColumnFormula>(1+0.1)^-1</calculatedColumnFormula>
    </tableColumn>
    <tableColumn id="4" xr3:uid="{41BCA953-1EFF-4F6B-A4DC-22F8565048CA}" name="År 2" dataDxfId="28">
      <calculatedColumnFormula>(1+0.1)^-2</calculatedColumnFormula>
    </tableColumn>
    <tableColumn id="5" xr3:uid="{91522CE8-8299-4850-A1BB-63E64BF55752}" name="År 3" dataDxfId="27">
      <calculatedColumnFormula>(1+0.1)^-3</calculatedColumnFormula>
    </tableColumn>
    <tableColumn id="6" xr3:uid="{A470311F-AE77-46AD-883E-8034A990B33E}" name="År 4" dataDxfId="26">
      <calculatedColumnFormula>(1+0.1)^-4</calculatedColumnFormula>
    </tableColumn>
    <tableColumn id="7" xr3:uid="{28DFEF1E-5A31-4E1A-8258-361CFA81532A}" name="År 5" dataDxfId="25">
      <calculatedColumnFormula>(1+0.1)^-5</calculatedColumnFormula>
    </tableColumn>
    <tableColumn id="8" xr3:uid="{2BF6CD07-A526-47C5-8A82-73577CA9AF08}" name="År 6" dataDxfId="24">
      <calculatedColumnFormula>(1+0.1)^-6</calculatedColumnFormula>
    </tableColumn>
    <tableColumn id="9" xr3:uid="{0594956B-1A07-4DEF-9580-D5A2C4648A85}" name="År 7" dataDxfId="23">
      <calculatedColumnFormula>(1+0.1)^-7</calculatedColumnFormula>
    </tableColumn>
    <tableColumn id="10" xr3:uid="{56FC3506-38D8-4141-A48D-3969F6078991}" name="År 8" dataDxfId="22">
      <calculatedColumnFormula>(1+0.1)^-8</calculatedColumnFormula>
    </tableColumn>
    <tableColumn id="24" xr3:uid="{725CA66E-AA9D-4E2F-ABF4-13B1E26585DD}" name="År 9" dataDxfId="21">
      <calculatedColumnFormula>(1+0.08)^-9</calculatedColumnFormula>
    </tableColumn>
    <tableColumn id="25" xr3:uid="{16BFE80C-F95B-4B22-99F3-D759C87DAAC3}" name="År 10" dataDxfId="20">
      <calculatedColumnFormula>(1+0.08)^-10</calculatedColumnFormula>
    </tableColumn>
    <tableColumn id="11" xr3:uid="{E96336E5-3BED-4732-AF18-20F80FE2CB23}" name="År 11" dataDxfId="19"/>
    <tableColumn id="12" xr3:uid="{B2E55273-4851-486E-A2A8-9A16DCB8E02D}" name="År 12" dataDxfId="18"/>
    <tableColumn id="13" xr3:uid="{A6F3D8B8-E88C-452A-9D30-EF445AADFACF}" name="År 13" dataDxfId="17"/>
    <tableColumn id="14" xr3:uid="{01A6BE24-0CBB-4621-8A6B-33B0BD071342}" name="År 14" dataDxfId="16"/>
    <tableColumn id="15" xr3:uid="{AB9A7786-7D4D-4DA3-A9E9-34AC0E135F24}" name="År 15" dataDxfId="15"/>
  </tableColumns>
  <tableStyleInfo name="TableStyleMedium1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B37EE153-C13F-4788-B6A1-5A2DCA9F1BD1}" name="Tabell25891011" displayName="Tabell25891011" ref="A1:Q25" totalsRowShown="0">
  <autoFilter ref="A1:Q25" xr:uid="{C1D6F2CC-0D95-416A-AE04-F05EFD962E19}"/>
  <tableColumns count="17">
    <tableColumn id="1" xr3:uid="{98241D80-62D7-4A18-9687-80A2027B5543}" name="Kalkylram"/>
    <tableColumn id="2" xr3:uid="{2744492C-3810-4490-8213-9698DD3EC51D}" name=" "/>
    <tableColumn id="3" xr3:uid="{3539E7EA-D377-4930-B5D3-F0A6B20E9691}" name="År 1" dataDxfId="14">
      <calculatedColumnFormula>(1+0.1)^-1</calculatedColumnFormula>
    </tableColumn>
    <tableColumn id="4" xr3:uid="{2F626421-2E88-4268-8D84-967126C0CF5B}" name="År 2" dataDxfId="13">
      <calculatedColumnFormula>(1+0.1)^-2</calculatedColumnFormula>
    </tableColumn>
    <tableColumn id="5" xr3:uid="{A93E3AA3-C6C5-435C-9878-C7E80B01EA61}" name="År 3" dataDxfId="12">
      <calculatedColumnFormula>(1+0.1)^-3</calculatedColumnFormula>
    </tableColumn>
    <tableColumn id="6" xr3:uid="{309373F2-EBAC-45A7-826C-D305A432D08D}" name="År 4" dataDxfId="11">
      <calculatedColumnFormula>(1+0.1)^-4</calculatedColumnFormula>
    </tableColumn>
    <tableColumn id="7" xr3:uid="{19B0BDA6-95A1-47B2-A44B-27A8AD1B6EED}" name="År 5" dataDxfId="10">
      <calculatedColumnFormula>(1+0.1)^-5</calculatedColumnFormula>
    </tableColumn>
    <tableColumn id="8" xr3:uid="{E600D530-E781-44F7-A3D6-229C3AF05A37}" name="År 6" dataDxfId="9">
      <calculatedColumnFormula>(1+0.1)^-6</calculatedColumnFormula>
    </tableColumn>
    <tableColumn id="9" xr3:uid="{C93ED840-76D2-497F-9F71-5973010EC52A}" name="År 7" dataDxfId="8">
      <calculatedColumnFormula>(1+0.1)^-7</calculatedColumnFormula>
    </tableColumn>
    <tableColumn id="10" xr3:uid="{F313A10A-B2DA-4150-A0C9-B860E9BC2131}" name="År 8" dataDxfId="7">
      <calculatedColumnFormula>(1+0.1)^-8</calculatedColumnFormula>
    </tableColumn>
    <tableColumn id="24" xr3:uid="{D8563F64-13C5-4BD6-B97A-E739378075F3}" name="År 9" dataDxfId="6">
      <calculatedColumnFormula>(1+0.08)^-9</calculatedColumnFormula>
    </tableColumn>
    <tableColumn id="25" xr3:uid="{AFCC27BF-DC79-4317-A024-9451B270FA3E}" name="År 10" dataDxfId="5">
      <calculatedColumnFormula>(1+0.08)^-10</calculatedColumnFormula>
    </tableColumn>
    <tableColumn id="11" xr3:uid="{025C24EE-9D2C-4423-9245-7F70A3D80C23}" name="År 11" dataDxfId="4"/>
    <tableColumn id="12" xr3:uid="{4B7C4946-79DA-4BBF-B40C-DE1F55AC9F96}" name="År 12" dataDxfId="3"/>
    <tableColumn id="13" xr3:uid="{EFBBBC4D-4F40-4D41-9D2A-6A160EE7892C}" name="År 13" dataDxfId="2"/>
    <tableColumn id="14" xr3:uid="{9B4EB624-D489-44A2-9834-F8A025C6B4F7}" name="År 14" dataDxfId="1"/>
    <tableColumn id="15" xr3:uid="{5D4D157A-65D6-468A-A75F-BF63E3D8D34F}" name="År 15" dataDxfId="0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EAEA1-7058-48F1-920A-C483F76C1EC8}">
  <sheetPr>
    <tabColor rgb="FF92D050"/>
  </sheetPr>
  <dimension ref="A1:Q24"/>
  <sheetViews>
    <sheetView zoomScale="90" zoomScaleNormal="90" workbookViewId="0">
      <selection activeCell="B24" sqref="B24"/>
    </sheetView>
  </sheetViews>
  <sheetFormatPr defaultRowHeight="14.5" x14ac:dyDescent="0.35"/>
  <cols>
    <col min="1" max="1" width="28.453125" bestFit="1" customWidth="1"/>
    <col min="2" max="9" width="9.7265625" customWidth="1"/>
    <col min="10" max="10" width="10.54296875" customWidth="1"/>
  </cols>
  <sheetData>
    <row r="1" spans="1:17" x14ac:dyDescent="0.35">
      <c r="A1" t="s">
        <v>0</v>
      </c>
      <c r="B1" t="s">
        <v>27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30</v>
      </c>
      <c r="N1" t="s">
        <v>31</v>
      </c>
      <c r="O1" t="s">
        <v>32</v>
      </c>
      <c r="P1" t="s">
        <v>33</v>
      </c>
      <c r="Q1" t="s">
        <v>34</v>
      </c>
    </row>
    <row r="2" spans="1:17" x14ac:dyDescent="0.35">
      <c r="A2" t="s">
        <v>2</v>
      </c>
      <c r="B2" s="4" t="s">
        <v>28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x14ac:dyDescent="0.35">
      <c r="A3" s="2" t="s">
        <v>1</v>
      </c>
      <c r="B3" s="5" t="s">
        <v>29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x14ac:dyDescent="0.35"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x14ac:dyDescent="0.35"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spans="1:17" x14ac:dyDescent="0.35">
      <c r="A6" s="1" t="s">
        <v>3</v>
      </c>
      <c r="B6" s="2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x14ac:dyDescent="0.35">
      <c r="A7" t="s">
        <v>14</v>
      </c>
      <c r="B7" s="6">
        <v>892500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 x14ac:dyDescent="0.35">
      <c r="A8" t="s">
        <v>25</v>
      </c>
      <c r="B8" s="6"/>
      <c r="C8" s="9">
        <v>9182</v>
      </c>
      <c r="D8" s="9">
        <f>Tabell224[[#This Row],[År 1]]*1.1</f>
        <v>10100.200000000001</v>
      </c>
      <c r="E8" s="9">
        <f>Tabell224[[#This Row],[År 2]]*1.1</f>
        <v>11110.220000000001</v>
      </c>
      <c r="F8" s="9">
        <f>Tabell224[[#This Row],[År 3]]*1.1</f>
        <v>12221.242000000002</v>
      </c>
      <c r="G8" s="9">
        <f>Tabell224[[#This Row],[År 4]]*1.1</f>
        <v>13443.366200000004</v>
      </c>
      <c r="H8" s="9">
        <f>Tabell224[[#This Row],[År 5]]*1.1</f>
        <v>14787.702820000006</v>
      </c>
      <c r="I8" s="9">
        <f>Tabell224[[#This Row],[År 6]]*1.1</f>
        <v>16266.473102000007</v>
      </c>
      <c r="J8" s="9">
        <f>Tabell224[[#This Row],[År 7]]*1.1</f>
        <v>17893.120412200009</v>
      </c>
      <c r="K8" s="9">
        <f>Tabell224[[#This Row],[År 8]]*1.1</f>
        <v>19682.432453420013</v>
      </c>
      <c r="L8" s="9">
        <f>Tabell224[[#This Row],[År 9]]*1.1</f>
        <v>21650.675698762017</v>
      </c>
      <c r="M8" s="9">
        <f>Tabell224[[#This Row],[År 10]]</f>
        <v>21650.675698762017</v>
      </c>
      <c r="N8" s="9">
        <f>Tabell224[[#This Row],[År 11]]</f>
        <v>21650.675698762017</v>
      </c>
      <c r="O8" s="9">
        <f>Tabell224[[#This Row],[År 12]]</f>
        <v>21650.675698762017</v>
      </c>
      <c r="P8" s="9">
        <f>Tabell224[[#This Row],[År 13]]</f>
        <v>21650.675698762017</v>
      </c>
      <c r="Q8" s="9">
        <f>Tabell224[[#This Row],[År 14]]</f>
        <v>21650.675698762017</v>
      </c>
    </row>
    <row r="9" spans="1:17" x14ac:dyDescent="0.35">
      <c r="A9" t="s">
        <v>39</v>
      </c>
      <c r="C9" s="7">
        <v>0.02</v>
      </c>
      <c r="D9" s="7">
        <f>Tabell224[[#This Row],[År 1]]+0.02</f>
        <v>0.04</v>
      </c>
      <c r="E9" s="7">
        <f>Tabell224[[#This Row],[År 2]]+0.02</f>
        <v>0.06</v>
      </c>
      <c r="F9" s="7">
        <f>Tabell224[[#This Row],[År 3]]+0.02</f>
        <v>0.08</v>
      </c>
      <c r="G9" s="7">
        <f>Tabell224[[#This Row],[År 4]]+0.02</f>
        <v>0.1</v>
      </c>
      <c r="H9" s="7">
        <f>Tabell224[[#This Row],[År 5]]+0.02</f>
        <v>0.12000000000000001</v>
      </c>
      <c r="I9" s="7">
        <f>Tabell224[[#This Row],[År 6]]+0.02</f>
        <v>0.14000000000000001</v>
      </c>
      <c r="J9" s="7">
        <f>Tabell224[[#This Row],[År 7]]+0.02</f>
        <v>0.16</v>
      </c>
      <c r="K9" s="7">
        <f>Tabell224[[#This Row],[År 8]]+0.02</f>
        <v>0.18</v>
      </c>
      <c r="L9" s="7">
        <f>Tabell224[[#This Row],[År 9]]+0.02</f>
        <v>0.19999999999999998</v>
      </c>
      <c r="M9" s="7">
        <f>Tabell224[[#This Row],[År 10]]+0.02</f>
        <v>0.21999999999999997</v>
      </c>
      <c r="N9" s="7">
        <f>Tabell224[[#This Row],[År 11]]+0.02</f>
        <v>0.23999999999999996</v>
      </c>
      <c r="O9" s="7">
        <f>Tabell224[[#This Row],[År 12]]+0.02</f>
        <v>0.25999999999999995</v>
      </c>
      <c r="P9" s="7">
        <f>Tabell224[[#This Row],[År 13]]+0.02</f>
        <v>0.27999999999999997</v>
      </c>
      <c r="Q9" s="7">
        <f>Tabell224[[#This Row],[År 14]]+0.02</f>
        <v>0.3</v>
      </c>
    </row>
    <row r="10" spans="1:17" x14ac:dyDescent="0.35">
      <c r="A10" t="s">
        <v>26</v>
      </c>
      <c r="B10" s="6"/>
      <c r="C10" s="6">
        <v>20000</v>
      </c>
      <c r="D10" s="6">
        <v>20000</v>
      </c>
      <c r="E10" s="6">
        <v>20000</v>
      </c>
      <c r="F10" s="6">
        <v>20000</v>
      </c>
      <c r="G10" s="6">
        <v>20000</v>
      </c>
      <c r="H10" s="6">
        <v>20000</v>
      </c>
      <c r="I10" s="6">
        <v>20000</v>
      </c>
      <c r="J10" s="6">
        <v>20000</v>
      </c>
      <c r="K10" s="6">
        <v>20000</v>
      </c>
      <c r="L10" s="6">
        <v>20000</v>
      </c>
      <c r="M10" s="9">
        <f>Tabell224[[#This Row],[År 10]]</f>
        <v>20000</v>
      </c>
      <c r="N10" s="9">
        <f>Tabell224[[#This Row],[År 11]]</f>
        <v>20000</v>
      </c>
      <c r="O10" s="9">
        <f>Tabell224[[#This Row],[År 12]]</f>
        <v>20000</v>
      </c>
      <c r="P10" s="9">
        <f>Tabell224[[#This Row],[År 13]]</f>
        <v>20000</v>
      </c>
      <c r="Q10" s="9">
        <f>Tabell224[[#This Row],[År 14]]</f>
        <v>20000</v>
      </c>
    </row>
    <row r="11" spans="1:17" x14ac:dyDescent="0.35">
      <c r="A11" t="s">
        <v>15</v>
      </c>
      <c r="C11" s="9">
        <f>C8*(1-C9)-C10</f>
        <v>-11001.64</v>
      </c>
      <c r="D11" s="9">
        <f t="shared" ref="D11:Q11" si="0">D8*(1-D9)-D10</f>
        <v>-10303.807999999999</v>
      </c>
      <c r="E11" s="9">
        <f t="shared" si="0"/>
        <v>-9556.3931999999986</v>
      </c>
      <c r="F11" s="9">
        <f t="shared" si="0"/>
        <v>-8756.4573599999985</v>
      </c>
      <c r="G11" s="9">
        <f t="shared" si="0"/>
        <v>-7900.970419999996</v>
      </c>
      <c r="H11" s="9">
        <f t="shared" si="0"/>
        <v>-6986.8215183999946</v>
      </c>
      <c r="I11" s="9">
        <f t="shared" si="0"/>
        <v>-6010.8331322799932</v>
      </c>
      <c r="J11" s="9">
        <f t="shared" si="0"/>
        <v>-4969.7788537519937</v>
      </c>
      <c r="K11" s="9">
        <f t="shared" si="0"/>
        <v>-3860.4053881955879</v>
      </c>
      <c r="L11" s="9">
        <f t="shared" si="0"/>
        <v>-2679.4594409903839</v>
      </c>
      <c r="M11" s="9">
        <f t="shared" si="0"/>
        <v>-3112.4729549656258</v>
      </c>
      <c r="N11" s="9">
        <f t="shared" si="0"/>
        <v>-3545.4864689408678</v>
      </c>
      <c r="O11" s="9">
        <f t="shared" si="0"/>
        <v>-3978.4999829161079</v>
      </c>
      <c r="P11" s="9">
        <f t="shared" si="0"/>
        <v>-4411.513496891348</v>
      </c>
      <c r="Q11" s="9">
        <f t="shared" si="0"/>
        <v>-4844.5270108665882</v>
      </c>
    </row>
    <row r="12" spans="1:17" x14ac:dyDescent="0.35"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x14ac:dyDescent="0.35"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x14ac:dyDescent="0.35">
      <c r="A14" s="1" t="s">
        <v>16</v>
      </c>
      <c r="B14" s="2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</row>
    <row r="15" spans="1:17" x14ac:dyDescent="0.35">
      <c r="A15" t="s">
        <v>17</v>
      </c>
      <c r="C15" s="7">
        <f>(1+0.06)^-1</f>
        <v>0.94339622641509424</v>
      </c>
      <c r="D15" s="7">
        <f>(1+0.06)^-2</f>
        <v>0.88999644001423983</v>
      </c>
      <c r="E15" s="7">
        <f>(1+0.06)^-3</f>
        <v>0.8396192830323016</v>
      </c>
      <c r="F15" s="7">
        <f>(1+0.06)^-4</f>
        <v>0.79209366323802044</v>
      </c>
      <c r="G15" s="7">
        <f>(1+0.06)^-5</f>
        <v>0.74725817286605689</v>
      </c>
      <c r="H15" s="7">
        <f>(1+0.06)^-6</f>
        <v>0.70496054043967626</v>
      </c>
      <c r="I15" s="7">
        <f>(1+0.06)^-7</f>
        <v>0.66505711362233599</v>
      </c>
      <c r="J15" s="7">
        <f>(1+0.06)^-8</f>
        <v>0.62741237134182648</v>
      </c>
      <c r="K15" s="7">
        <f>(1+0.06)^-9</f>
        <v>0.59189846353002495</v>
      </c>
      <c r="L15" s="7">
        <f>(1+0.06)^-10</f>
        <v>0.55839477691511785</v>
      </c>
      <c r="M15" s="7">
        <f>(1+0.06)^-11</f>
        <v>0.52678752539162055</v>
      </c>
      <c r="N15" s="7">
        <f>(1+0.06)^-12</f>
        <v>0.4969693635770005</v>
      </c>
      <c r="O15" s="7">
        <f>(1+0.06)^-13</f>
        <v>0.46883902224245327</v>
      </c>
      <c r="P15" s="7">
        <f>(1+0.06)^-14</f>
        <v>0.44230096437967292</v>
      </c>
      <c r="Q15" s="7">
        <f>(1+0.06)^-15</f>
        <v>0.41726506073554037</v>
      </c>
    </row>
    <row r="16" spans="1:17" x14ac:dyDescent="0.35">
      <c r="A16" t="s">
        <v>18</v>
      </c>
      <c r="B16" s="6">
        <v>892500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x14ac:dyDescent="0.35">
      <c r="A17" t="s">
        <v>19</v>
      </c>
      <c r="C17" s="9">
        <f t="shared" ref="C17:L17" si="1">C11*C15</f>
        <v>-10378.905660377357</v>
      </c>
      <c r="D17" s="9">
        <f t="shared" si="1"/>
        <v>-9170.3524385902438</v>
      </c>
      <c r="E17" s="9">
        <f t="shared" si="1"/>
        <v>-8023.7320069587613</v>
      </c>
      <c r="F17" s="9">
        <f t="shared" si="1"/>
        <v>-6935.9343872699246</v>
      </c>
      <c r="G17" s="9">
        <f t="shared" si="1"/>
        <v>-5904.0647199179593</v>
      </c>
      <c r="H17" s="9">
        <f t="shared" si="1"/>
        <v>-4925.4334735668199</v>
      </c>
      <c r="I17" s="9">
        <f t="shared" si="1"/>
        <v>-3997.5473334196372</v>
      </c>
      <c r="J17" s="9">
        <f t="shared" si="1"/>
        <v>-3118.1007356770028</v>
      </c>
      <c r="K17" s="9">
        <f t="shared" si="1"/>
        <v>-2284.9680178759982</v>
      </c>
      <c r="L17" s="9">
        <f t="shared" si="1"/>
        <v>-1496.1961568049319</v>
      </c>
      <c r="M17" s="9">
        <f>M11*M15</f>
        <v>-1639.6119257946868</v>
      </c>
      <c r="N17" s="9">
        <f t="shared" ref="N17:Q17" si="2">N11*N15</f>
        <v>-1761.9981540404099</v>
      </c>
      <c r="O17" s="9">
        <f t="shared" si="2"/>
        <v>-1865.2760419820052</v>
      </c>
      <c r="P17" s="9">
        <f t="shared" si="2"/>
        <v>-1951.2166740489865</v>
      </c>
      <c r="Q17" s="9">
        <f t="shared" si="2"/>
        <v>-2021.4518574242127</v>
      </c>
    </row>
    <row r="18" spans="1:17" x14ac:dyDescent="0.35">
      <c r="A18" t="s">
        <v>20</v>
      </c>
      <c r="B18" s="9">
        <f>SUM(C17:Q17)</f>
        <v>-65474.789583748927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x14ac:dyDescent="0.35"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x14ac:dyDescent="0.35"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x14ac:dyDescent="0.35">
      <c r="A21" s="1" t="s">
        <v>22</v>
      </c>
      <c r="B21" s="2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</row>
    <row r="22" spans="1:17" x14ac:dyDescent="0.35">
      <c r="A22" t="s">
        <v>21</v>
      </c>
      <c r="B22" s="9">
        <f>B18</f>
        <v>-65474.789583748927</v>
      </c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x14ac:dyDescent="0.35">
      <c r="A23" s="2" t="s">
        <v>18</v>
      </c>
      <c r="B23" s="2">
        <f>B7</f>
        <v>892500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x14ac:dyDescent="0.35">
      <c r="A24" s="3" t="s">
        <v>24</v>
      </c>
      <c r="B24" s="10">
        <f>ROUND(B22-B23, -3)</f>
        <v>-958000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51B49-F91F-4A9E-AB4F-43F628856243}">
  <sheetPr>
    <tabColor rgb="FF92D050"/>
  </sheetPr>
  <dimension ref="A1:Q24"/>
  <sheetViews>
    <sheetView zoomScale="90" zoomScaleNormal="90" workbookViewId="0">
      <selection activeCell="B25" sqref="B25"/>
    </sheetView>
  </sheetViews>
  <sheetFormatPr defaultRowHeight="14.5" x14ac:dyDescent="0.35"/>
  <cols>
    <col min="1" max="1" width="28.453125" bestFit="1" customWidth="1"/>
    <col min="2" max="9" width="9.7265625" customWidth="1"/>
    <col min="10" max="10" width="10.54296875" customWidth="1"/>
  </cols>
  <sheetData>
    <row r="1" spans="1:17" x14ac:dyDescent="0.35">
      <c r="A1" t="s">
        <v>0</v>
      </c>
      <c r="B1" t="s">
        <v>23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30</v>
      </c>
      <c r="N1" t="s">
        <v>31</v>
      </c>
      <c r="O1" t="s">
        <v>32</v>
      </c>
      <c r="P1" t="s">
        <v>33</v>
      </c>
      <c r="Q1" t="s">
        <v>34</v>
      </c>
    </row>
    <row r="2" spans="1:17" x14ac:dyDescent="0.35">
      <c r="A2" t="s">
        <v>2</v>
      </c>
      <c r="B2" s="4" t="s">
        <v>28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x14ac:dyDescent="0.35">
      <c r="A3" s="2" t="s">
        <v>1</v>
      </c>
      <c r="B3" s="5" t="s">
        <v>29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x14ac:dyDescent="0.35"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x14ac:dyDescent="0.35"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spans="1:17" x14ac:dyDescent="0.35">
      <c r="A6" s="1" t="s">
        <v>3</v>
      </c>
      <c r="B6" s="2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x14ac:dyDescent="0.35">
      <c r="A7" t="s">
        <v>14</v>
      </c>
      <c r="B7" s="6">
        <v>892500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 x14ac:dyDescent="0.35">
      <c r="A8" t="s">
        <v>25</v>
      </c>
      <c r="C8" s="9">
        <v>59751</v>
      </c>
      <c r="D8" s="9">
        <v>59751</v>
      </c>
      <c r="E8" s="9">
        <v>59751</v>
      </c>
      <c r="F8" s="9">
        <v>59751</v>
      </c>
      <c r="G8" s="9">
        <v>59751</v>
      </c>
      <c r="H8" s="9">
        <v>59751</v>
      </c>
      <c r="I8" s="9">
        <v>59751</v>
      </c>
      <c r="J8" s="9">
        <v>59751</v>
      </c>
      <c r="K8" s="9">
        <v>59751</v>
      </c>
      <c r="L8" s="9">
        <v>59751</v>
      </c>
      <c r="M8" s="9">
        <v>59751</v>
      </c>
      <c r="N8" s="9">
        <v>59751</v>
      </c>
      <c r="O8" s="9">
        <v>59751</v>
      </c>
      <c r="P8" s="9">
        <v>59751</v>
      </c>
      <c r="Q8" s="9">
        <v>59751</v>
      </c>
    </row>
    <row r="9" spans="1:17" x14ac:dyDescent="0.35">
      <c r="A9" t="s">
        <v>39</v>
      </c>
      <c r="C9" s="7">
        <v>0.02</v>
      </c>
      <c r="D9" s="7">
        <f>Tabell2[[#This Row],[År 1]]+0.02</f>
        <v>0.04</v>
      </c>
      <c r="E9" s="7">
        <f>Tabell2[[#This Row],[År 2]]+0.02</f>
        <v>0.06</v>
      </c>
      <c r="F9" s="7">
        <f>Tabell2[[#This Row],[År 3]]+0.02</f>
        <v>0.08</v>
      </c>
      <c r="G9" s="7">
        <f>Tabell2[[#This Row],[År 4]]+0.02</f>
        <v>0.1</v>
      </c>
      <c r="H9" s="7">
        <f>Tabell2[[#This Row],[År 5]]+0.02</f>
        <v>0.12000000000000001</v>
      </c>
      <c r="I9" s="7">
        <f>Tabell2[[#This Row],[År 6]]+0.02</f>
        <v>0.14000000000000001</v>
      </c>
      <c r="J9" s="7">
        <f>Tabell2[[#This Row],[År 7]]+0.02</f>
        <v>0.16</v>
      </c>
      <c r="K9" s="7">
        <f>Tabell2[[#This Row],[År 8]]+0.02</f>
        <v>0.18</v>
      </c>
      <c r="L9" s="7">
        <f>Tabell2[[#This Row],[År 9]]+0.02</f>
        <v>0.19999999999999998</v>
      </c>
      <c r="M9" s="7">
        <f>Tabell2[[#This Row],[År 10]]+0.02</f>
        <v>0.21999999999999997</v>
      </c>
      <c r="N9" s="7">
        <f>Tabell2[[#This Row],[År 11]]+0.02</f>
        <v>0.23999999999999996</v>
      </c>
      <c r="O9" s="7">
        <f>Tabell2[[#This Row],[År 12]]+0.02</f>
        <v>0.25999999999999995</v>
      </c>
      <c r="P9" s="7">
        <f>Tabell2[[#This Row],[År 13]]+0.02</f>
        <v>0.27999999999999997</v>
      </c>
      <c r="Q9" s="7">
        <f>Tabell2[[#This Row],[År 14]]+0.02</f>
        <v>0.3</v>
      </c>
    </row>
    <row r="10" spans="1:17" x14ac:dyDescent="0.35">
      <c r="A10" t="s">
        <v>26</v>
      </c>
      <c r="C10" s="9">
        <v>20000</v>
      </c>
      <c r="D10" s="9">
        <v>20000</v>
      </c>
      <c r="E10" s="9">
        <v>20000</v>
      </c>
      <c r="F10" s="9">
        <v>20000</v>
      </c>
      <c r="G10" s="9">
        <v>20000</v>
      </c>
      <c r="H10" s="9">
        <v>20000</v>
      </c>
      <c r="I10" s="9">
        <v>20000</v>
      </c>
      <c r="J10" s="9">
        <v>20000</v>
      </c>
      <c r="K10" s="9">
        <v>20000</v>
      </c>
      <c r="L10" s="9">
        <v>20000</v>
      </c>
      <c r="M10" s="9">
        <v>20000</v>
      </c>
      <c r="N10" s="9">
        <v>20000</v>
      </c>
      <c r="O10" s="9">
        <v>20000</v>
      </c>
      <c r="P10" s="9">
        <v>20000</v>
      </c>
      <c r="Q10" s="9">
        <v>20000</v>
      </c>
    </row>
    <row r="11" spans="1:17" x14ac:dyDescent="0.35">
      <c r="A11" t="s">
        <v>15</v>
      </c>
      <c r="C11" s="9">
        <f>C8*(1-C9)-C10</f>
        <v>38555.979999999996</v>
      </c>
      <c r="D11" s="9">
        <f t="shared" ref="D11:Q11" si="0">D8*(1-D9)-D10</f>
        <v>37360.959999999999</v>
      </c>
      <c r="E11" s="9">
        <f t="shared" si="0"/>
        <v>36165.939999999995</v>
      </c>
      <c r="F11" s="9">
        <f t="shared" si="0"/>
        <v>34970.920000000006</v>
      </c>
      <c r="G11" s="9">
        <f t="shared" si="0"/>
        <v>33775.9</v>
      </c>
      <c r="H11" s="9">
        <f t="shared" si="0"/>
        <v>32580.879999999997</v>
      </c>
      <c r="I11" s="9">
        <f t="shared" si="0"/>
        <v>31385.86</v>
      </c>
      <c r="J11" s="9">
        <f t="shared" si="0"/>
        <v>30190.839999999997</v>
      </c>
      <c r="K11" s="9">
        <f t="shared" si="0"/>
        <v>28995.820000000007</v>
      </c>
      <c r="L11" s="9">
        <f t="shared" si="0"/>
        <v>27800.800000000003</v>
      </c>
      <c r="M11" s="9">
        <f t="shared" si="0"/>
        <v>26605.78</v>
      </c>
      <c r="N11" s="9">
        <f t="shared" si="0"/>
        <v>25410.760000000002</v>
      </c>
      <c r="O11" s="9">
        <f t="shared" si="0"/>
        <v>24215.739999999998</v>
      </c>
      <c r="P11" s="9">
        <f t="shared" si="0"/>
        <v>23020.720000000001</v>
      </c>
      <c r="Q11" s="9">
        <f t="shared" si="0"/>
        <v>21825.699999999997</v>
      </c>
    </row>
    <row r="12" spans="1:17" x14ac:dyDescent="0.35"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x14ac:dyDescent="0.35"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x14ac:dyDescent="0.35">
      <c r="A14" s="1" t="s">
        <v>16</v>
      </c>
      <c r="B14" s="2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</row>
    <row r="15" spans="1:17" x14ac:dyDescent="0.35">
      <c r="A15" t="s">
        <v>17</v>
      </c>
      <c r="C15" s="7">
        <f>(1+0.06)^-1</f>
        <v>0.94339622641509424</v>
      </c>
      <c r="D15" s="7">
        <f>(1+0.06)^-2</f>
        <v>0.88999644001423983</v>
      </c>
      <c r="E15" s="7">
        <f>(1+0.06)^-3</f>
        <v>0.8396192830323016</v>
      </c>
      <c r="F15" s="7">
        <f>(1+0.06)^-4</f>
        <v>0.79209366323802044</v>
      </c>
      <c r="G15" s="7">
        <f>(1+0.06)^-5</f>
        <v>0.74725817286605689</v>
      </c>
      <c r="H15" s="7">
        <f>(1+0.06)^-6</f>
        <v>0.70496054043967626</v>
      </c>
      <c r="I15" s="7">
        <f>(1+0.06)^-7</f>
        <v>0.66505711362233599</v>
      </c>
      <c r="J15" s="7">
        <f>(1+0.06)^-8</f>
        <v>0.62741237134182648</v>
      </c>
      <c r="K15" s="7">
        <f>(1+0.06)^-9</f>
        <v>0.59189846353002495</v>
      </c>
      <c r="L15" s="7">
        <f>(1+0.06)^-10</f>
        <v>0.55839477691511785</v>
      </c>
      <c r="M15" s="7">
        <f t="shared" ref="M15" si="1">(1+0.06)^-11</f>
        <v>0.52678752539162055</v>
      </c>
      <c r="N15" s="7">
        <f t="shared" ref="N15" si="2">(1+0.06)^-12</f>
        <v>0.4969693635770005</v>
      </c>
      <c r="O15" s="7">
        <f t="shared" ref="O15" si="3">(1+0.06)^-13</f>
        <v>0.46883902224245327</v>
      </c>
      <c r="P15" s="7">
        <f t="shared" ref="P15" si="4">(1+0.06)^-14</f>
        <v>0.44230096437967292</v>
      </c>
      <c r="Q15" s="7">
        <f t="shared" ref="Q15" si="5">(1+0.06)^-15</f>
        <v>0.41726506073554037</v>
      </c>
    </row>
    <row r="16" spans="1:17" x14ac:dyDescent="0.35">
      <c r="A16" t="s">
        <v>18</v>
      </c>
      <c r="B16" s="6">
        <v>892500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x14ac:dyDescent="0.35">
      <c r="A17" t="s">
        <v>19</v>
      </c>
      <c r="C17" s="9">
        <f t="shared" ref="C17:Q17" si="6">C11*C15</f>
        <v>36373.566037735844</v>
      </c>
      <c r="D17" s="9">
        <f t="shared" si="6"/>
        <v>33251.121395514412</v>
      </c>
      <c r="E17" s="9">
        <f t="shared" si="6"/>
        <v>30365.620612989234</v>
      </c>
      <c r="F17" s="9">
        <f t="shared" si="6"/>
        <v>27700.244129603758</v>
      </c>
      <c r="G17" s="9">
        <f t="shared" si="6"/>
        <v>25239.317320906652</v>
      </c>
      <c r="H17" s="9">
        <f t="shared" si="6"/>
        <v>22968.234772800239</v>
      </c>
      <c r="I17" s="9">
        <f t="shared" si="6"/>
        <v>20873.389460154729</v>
      </c>
      <c r="J17" s="9">
        <f t="shared" si="6"/>
        <v>18942.106517201668</v>
      </c>
      <c r="K17" s="9">
        <f t="shared" si="6"/>
        <v>17162.581306793174</v>
      </c>
      <c r="L17" s="9">
        <f t="shared" si="6"/>
        <v>15523.82151406181</v>
      </c>
      <c r="M17" s="9">
        <f t="shared" si="6"/>
        <v>14015.59300731387</v>
      </c>
      <c r="N17" s="9">
        <f t="shared" si="6"/>
        <v>12628.369225207902</v>
      </c>
      <c r="O17" s="9">
        <f t="shared" si="6"/>
        <v>11353.283864477464</v>
      </c>
      <c r="P17" s="9">
        <f t="shared" si="6"/>
        <v>10182.086656714424</v>
      </c>
      <c r="Q17" s="9">
        <f t="shared" si="6"/>
        <v>9107.1020360956827</v>
      </c>
    </row>
    <row r="18" spans="1:17" x14ac:dyDescent="0.35">
      <c r="A18" t="s">
        <v>20</v>
      </c>
      <c r="B18" s="9">
        <f>SUM(C17:Q17)</f>
        <v>305686.43785757083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x14ac:dyDescent="0.35"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x14ac:dyDescent="0.35"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x14ac:dyDescent="0.35">
      <c r="A21" s="1" t="s">
        <v>22</v>
      </c>
      <c r="B21" s="2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</row>
    <row r="22" spans="1:17" x14ac:dyDescent="0.35">
      <c r="A22" t="s">
        <v>21</v>
      </c>
      <c r="B22" s="9">
        <f>B18</f>
        <v>305686.43785757083</v>
      </c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x14ac:dyDescent="0.35">
      <c r="A23" s="2" t="s">
        <v>18</v>
      </c>
      <c r="B23" s="2">
        <f>B7</f>
        <v>892500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x14ac:dyDescent="0.35">
      <c r="A24" s="3" t="s">
        <v>24</v>
      </c>
      <c r="B24" s="10">
        <f>ROUND(B22-B23, -3)</f>
        <v>-587000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</sheetData>
  <phoneticPr fontId="2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58C6D-2B0B-4644-ACC8-A75E484ABC38}">
  <sheetPr>
    <tabColor rgb="FF92D050"/>
  </sheetPr>
  <dimension ref="A1:Q24"/>
  <sheetViews>
    <sheetView zoomScale="90" zoomScaleNormal="90" workbookViewId="0">
      <selection activeCell="B25" sqref="B25"/>
    </sheetView>
  </sheetViews>
  <sheetFormatPr defaultRowHeight="14.5" x14ac:dyDescent="0.35"/>
  <cols>
    <col min="1" max="1" width="28.453125" bestFit="1" customWidth="1"/>
    <col min="2" max="9" width="9.7265625" customWidth="1"/>
    <col min="10" max="10" width="10.54296875" customWidth="1"/>
  </cols>
  <sheetData>
    <row r="1" spans="1:17" x14ac:dyDescent="0.35">
      <c r="A1" t="s">
        <v>0</v>
      </c>
      <c r="B1" t="s">
        <v>23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30</v>
      </c>
      <c r="N1" t="s">
        <v>31</v>
      </c>
      <c r="O1" t="s">
        <v>32</v>
      </c>
      <c r="P1" t="s">
        <v>33</v>
      </c>
      <c r="Q1" t="s">
        <v>34</v>
      </c>
    </row>
    <row r="2" spans="1:17" x14ac:dyDescent="0.35">
      <c r="A2" t="s">
        <v>2</v>
      </c>
      <c r="B2" s="4" t="s">
        <v>28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x14ac:dyDescent="0.35">
      <c r="A3" s="2" t="s">
        <v>1</v>
      </c>
      <c r="B3" s="5" t="s">
        <v>29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x14ac:dyDescent="0.35"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x14ac:dyDescent="0.35"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spans="1:17" x14ac:dyDescent="0.35">
      <c r="A6" s="1" t="s">
        <v>3</v>
      </c>
      <c r="B6" s="2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x14ac:dyDescent="0.35">
      <c r="A7" t="s">
        <v>14</v>
      </c>
      <c r="B7" s="6">
        <v>892500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 x14ac:dyDescent="0.35">
      <c r="A8" t="s">
        <v>25</v>
      </c>
      <c r="C8" s="9">
        <v>109083</v>
      </c>
      <c r="D8" s="9">
        <v>109083</v>
      </c>
      <c r="E8" s="9">
        <v>109083</v>
      </c>
      <c r="F8" s="9">
        <v>109083</v>
      </c>
      <c r="G8" s="9">
        <v>109083</v>
      </c>
      <c r="H8" s="9">
        <v>109083</v>
      </c>
      <c r="I8" s="9">
        <v>109083</v>
      </c>
      <c r="J8" s="9">
        <v>109083</v>
      </c>
      <c r="K8" s="9">
        <v>109083</v>
      </c>
      <c r="L8" s="9">
        <v>109083</v>
      </c>
      <c r="M8" s="9">
        <v>109083</v>
      </c>
      <c r="N8" s="9">
        <v>109083</v>
      </c>
      <c r="O8" s="9">
        <v>109083</v>
      </c>
      <c r="P8" s="9">
        <v>109083</v>
      </c>
      <c r="Q8" s="9">
        <v>109083</v>
      </c>
    </row>
    <row r="9" spans="1:17" x14ac:dyDescent="0.35">
      <c r="A9" t="s">
        <v>39</v>
      </c>
      <c r="C9" s="7">
        <v>0.02</v>
      </c>
      <c r="D9" s="7">
        <f>Tabell22[[#This Row],[År 1]]+0.02</f>
        <v>0.04</v>
      </c>
      <c r="E9" s="7">
        <f>Tabell22[[#This Row],[År 2]]+0.02</f>
        <v>0.06</v>
      </c>
      <c r="F9" s="7">
        <f>Tabell22[[#This Row],[År 3]]+0.02</f>
        <v>0.08</v>
      </c>
      <c r="G9" s="7">
        <f>Tabell22[[#This Row],[År 4]]+0.02</f>
        <v>0.1</v>
      </c>
      <c r="H9" s="7">
        <f>Tabell22[[#This Row],[År 5]]+0.02</f>
        <v>0.12000000000000001</v>
      </c>
      <c r="I9" s="7">
        <f>Tabell22[[#This Row],[År 6]]+0.02</f>
        <v>0.14000000000000001</v>
      </c>
      <c r="J9" s="7">
        <f>Tabell22[[#This Row],[År 7]]+0.02</f>
        <v>0.16</v>
      </c>
      <c r="K9" s="7">
        <f>Tabell22[[#This Row],[År 8]]+0.02</f>
        <v>0.18</v>
      </c>
      <c r="L9" s="7">
        <f>Tabell22[[#This Row],[År 9]]+0.02</f>
        <v>0.19999999999999998</v>
      </c>
      <c r="M9" s="7">
        <f>Tabell22[[#This Row],[År 10]]+0.02</f>
        <v>0.21999999999999997</v>
      </c>
      <c r="N9" s="7">
        <f>Tabell22[[#This Row],[År 11]]+0.02</f>
        <v>0.23999999999999996</v>
      </c>
      <c r="O9" s="7">
        <f>Tabell22[[#This Row],[År 12]]+0.02</f>
        <v>0.25999999999999995</v>
      </c>
      <c r="P9" s="7">
        <f>Tabell22[[#This Row],[År 13]]+0.02</f>
        <v>0.27999999999999997</v>
      </c>
      <c r="Q9" s="7">
        <f>Tabell22[[#This Row],[År 14]]+0.02</f>
        <v>0.3</v>
      </c>
    </row>
    <row r="10" spans="1:17" x14ac:dyDescent="0.35">
      <c r="A10" t="s">
        <v>26</v>
      </c>
      <c r="C10" s="9">
        <v>20000</v>
      </c>
      <c r="D10" s="9">
        <v>20000</v>
      </c>
      <c r="E10" s="9">
        <v>20000</v>
      </c>
      <c r="F10" s="9">
        <v>20000</v>
      </c>
      <c r="G10" s="9">
        <v>20000</v>
      </c>
      <c r="H10" s="9">
        <v>20000</v>
      </c>
      <c r="I10" s="9">
        <v>20000</v>
      </c>
      <c r="J10" s="9">
        <v>20000</v>
      </c>
      <c r="K10" s="9">
        <v>20000</v>
      </c>
      <c r="L10" s="9">
        <v>20000</v>
      </c>
      <c r="M10" s="9">
        <v>20000</v>
      </c>
      <c r="N10" s="9">
        <v>20000</v>
      </c>
      <c r="O10" s="9">
        <v>20000</v>
      </c>
      <c r="P10" s="9">
        <v>20000</v>
      </c>
      <c r="Q10" s="9">
        <v>20000</v>
      </c>
    </row>
    <row r="11" spans="1:17" x14ac:dyDescent="0.35">
      <c r="A11" t="s">
        <v>15</v>
      </c>
      <c r="C11" s="9">
        <f>C8*(1-C9)-C10</f>
        <v>86901.34</v>
      </c>
      <c r="D11" s="9">
        <f t="shared" ref="D11:Q11" si="0">D8*(1-D9)-D10</f>
        <v>84719.679999999993</v>
      </c>
      <c r="E11" s="9">
        <f t="shared" si="0"/>
        <v>82538.01999999999</v>
      </c>
      <c r="F11" s="9">
        <f t="shared" si="0"/>
        <v>80356.36</v>
      </c>
      <c r="G11" s="9">
        <f t="shared" si="0"/>
        <v>78174.7</v>
      </c>
      <c r="H11" s="9">
        <f t="shared" si="0"/>
        <v>75993.039999999994</v>
      </c>
      <c r="I11" s="9">
        <f t="shared" si="0"/>
        <v>73811.38</v>
      </c>
      <c r="J11" s="9">
        <f t="shared" si="0"/>
        <v>71629.72</v>
      </c>
      <c r="K11" s="9">
        <f t="shared" si="0"/>
        <v>69448.060000000012</v>
      </c>
      <c r="L11" s="9">
        <f t="shared" si="0"/>
        <v>67266.400000000009</v>
      </c>
      <c r="M11" s="9">
        <f t="shared" si="0"/>
        <v>65084.740000000005</v>
      </c>
      <c r="N11" s="9">
        <f t="shared" si="0"/>
        <v>62903.08</v>
      </c>
      <c r="O11" s="9">
        <f t="shared" si="0"/>
        <v>60721.42</v>
      </c>
      <c r="P11" s="9">
        <f t="shared" si="0"/>
        <v>58539.759999999995</v>
      </c>
      <c r="Q11" s="9">
        <f t="shared" si="0"/>
        <v>56358.099999999991</v>
      </c>
    </row>
    <row r="12" spans="1:17" x14ac:dyDescent="0.35"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x14ac:dyDescent="0.35"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x14ac:dyDescent="0.35">
      <c r="A14" s="1" t="s">
        <v>16</v>
      </c>
      <c r="B14" s="2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</row>
    <row r="15" spans="1:17" x14ac:dyDescent="0.35">
      <c r="A15" t="s">
        <v>17</v>
      </c>
      <c r="C15" s="7">
        <f>(1+0.06)^-1</f>
        <v>0.94339622641509424</v>
      </c>
      <c r="D15" s="7">
        <f>(1+0.06)^-2</f>
        <v>0.88999644001423983</v>
      </c>
      <c r="E15" s="7">
        <f>(1+0.06)^-3</f>
        <v>0.8396192830323016</v>
      </c>
      <c r="F15" s="7">
        <f>(1+0.06)^-4</f>
        <v>0.79209366323802044</v>
      </c>
      <c r="G15" s="7">
        <f>(1+0.06)^-5</f>
        <v>0.74725817286605689</v>
      </c>
      <c r="H15" s="7">
        <f>(1+0.06)^-6</f>
        <v>0.70496054043967626</v>
      </c>
      <c r="I15" s="7">
        <f>(1+0.06)^-7</f>
        <v>0.66505711362233599</v>
      </c>
      <c r="J15" s="7">
        <f>(1+0.06)^-8</f>
        <v>0.62741237134182648</v>
      </c>
      <c r="K15" s="7">
        <f>(1+0.06)^-9</f>
        <v>0.59189846353002495</v>
      </c>
      <c r="L15" s="7">
        <f>(1+0.06)^-10</f>
        <v>0.55839477691511785</v>
      </c>
      <c r="M15" s="7">
        <f t="shared" ref="M15" si="1">(1+0.06)^-11</f>
        <v>0.52678752539162055</v>
      </c>
      <c r="N15" s="7">
        <f t="shared" ref="N15" si="2">(1+0.06)^-12</f>
        <v>0.4969693635770005</v>
      </c>
      <c r="O15" s="7">
        <f t="shared" ref="O15" si="3">(1+0.06)^-13</f>
        <v>0.46883902224245327</v>
      </c>
      <c r="P15" s="7">
        <f t="shared" ref="P15" si="4">(1+0.06)^-14</f>
        <v>0.44230096437967292</v>
      </c>
      <c r="Q15" s="7">
        <f t="shared" ref="Q15" si="5">(1+0.06)^-15</f>
        <v>0.41726506073554037</v>
      </c>
    </row>
    <row r="16" spans="1:17" x14ac:dyDescent="0.35">
      <c r="A16" t="s">
        <v>18</v>
      </c>
      <c r="B16" s="6">
        <v>892500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x14ac:dyDescent="0.35">
      <c r="A17" t="s">
        <v>19</v>
      </c>
      <c r="C17" s="9">
        <f t="shared" ref="C17:Q17" si="6">C11*C15</f>
        <v>81982.396226415076</v>
      </c>
      <c r="D17" s="9">
        <f t="shared" si="6"/>
        <v>75400.213599145587</v>
      </c>
      <c r="E17" s="9">
        <f t="shared" si="6"/>
        <v>69300.513175305765</v>
      </c>
      <c r="F17" s="9">
        <f t="shared" si="6"/>
        <v>63649.763556873135</v>
      </c>
      <c r="G17" s="9">
        <f t="shared" si="6"/>
        <v>58416.683486352136</v>
      </c>
      <c r="H17" s="9">
        <f t="shared" si="6"/>
        <v>53572.09454805393</v>
      </c>
      <c r="I17" s="9">
        <f t="shared" si="6"/>
        <v>49088.78333528142</v>
      </c>
      <c r="J17" s="9">
        <f t="shared" si="6"/>
        <v>44941.372483751053</v>
      </c>
      <c r="K17" s="9">
        <f t="shared" si="6"/>
        <v>41106.200009140994</v>
      </c>
      <c r="L17" s="9">
        <f t="shared" si="6"/>
        <v>37561.206421883086</v>
      </c>
      <c r="M17" s="9">
        <f t="shared" si="6"/>
        <v>34285.829125357028</v>
      </c>
      <c r="N17" s="9">
        <f t="shared" si="6"/>
        <v>31260.903634633149</v>
      </c>
      <c r="O17" s="9">
        <f t="shared" si="6"/>
        <v>28468.571181973348</v>
      </c>
      <c r="P17" s="9">
        <f t="shared" si="6"/>
        <v>25892.192302554598</v>
      </c>
      <c r="Q17" s="9">
        <f t="shared" si="6"/>
        <v>23516.266019439656</v>
      </c>
    </row>
    <row r="18" spans="1:17" x14ac:dyDescent="0.35">
      <c r="A18" t="s">
        <v>20</v>
      </c>
      <c r="B18" s="9">
        <f>SUM(C17:Q17)</f>
        <v>718442.98910615989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x14ac:dyDescent="0.35"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x14ac:dyDescent="0.35"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x14ac:dyDescent="0.35">
      <c r="A21" s="1" t="s">
        <v>22</v>
      </c>
      <c r="B21" s="2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</row>
    <row r="22" spans="1:17" x14ac:dyDescent="0.35">
      <c r="A22" t="s">
        <v>21</v>
      </c>
      <c r="B22" s="9">
        <f>B18</f>
        <v>718442.98910615989</v>
      </c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x14ac:dyDescent="0.35">
      <c r="A23" s="2" t="s">
        <v>18</v>
      </c>
      <c r="B23" s="2">
        <f>B7</f>
        <v>892500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x14ac:dyDescent="0.35">
      <c r="A24" s="3" t="s">
        <v>24</v>
      </c>
      <c r="B24" s="10">
        <f>ROUND(B22-B23, -3)</f>
        <v>-174000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DF67F-7801-4FF7-968F-D344C4C7DF47}">
  <sheetPr>
    <tabColor rgb="FF92D050"/>
  </sheetPr>
  <dimension ref="A1:Q24"/>
  <sheetViews>
    <sheetView zoomScale="90" zoomScaleNormal="90" workbookViewId="0">
      <selection activeCell="B25" sqref="B25"/>
    </sheetView>
  </sheetViews>
  <sheetFormatPr defaultRowHeight="14.5" x14ac:dyDescent="0.35"/>
  <cols>
    <col min="1" max="1" width="28.453125" bestFit="1" customWidth="1"/>
    <col min="2" max="9" width="9.7265625" customWidth="1"/>
    <col min="10" max="10" width="10.54296875" customWidth="1"/>
  </cols>
  <sheetData>
    <row r="1" spans="1:17" x14ac:dyDescent="0.35">
      <c r="A1" t="s">
        <v>0</v>
      </c>
      <c r="B1" t="s">
        <v>23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30</v>
      </c>
      <c r="N1" t="s">
        <v>31</v>
      </c>
      <c r="O1" t="s">
        <v>32</v>
      </c>
      <c r="P1" t="s">
        <v>33</v>
      </c>
      <c r="Q1" t="s">
        <v>34</v>
      </c>
    </row>
    <row r="2" spans="1:17" x14ac:dyDescent="0.35">
      <c r="A2" t="s">
        <v>2</v>
      </c>
      <c r="B2" s="4" t="s">
        <v>28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x14ac:dyDescent="0.35">
      <c r="A3" s="2" t="s">
        <v>1</v>
      </c>
      <c r="B3" s="5" t="s">
        <v>29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x14ac:dyDescent="0.35"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x14ac:dyDescent="0.35"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spans="1:17" x14ac:dyDescent="0.35">
      <c r="A6" s="1" t="s">
        <v>3</v>
      </c>
      <c r="B6" s="2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x14ac:dyDescent="0.35">
      <c r="A7" t="s">
        <v>14</v>
      </c>
      <c r="B7" s="6">
        <v>892500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 x14ac:dyDescent="0.35">
      <c r="A8" t="s">
        <v>25</v>
      </c>
      <c r="C8" s="9">
        <v>25043</v>
      </c>
      <c r="D8" s="9">
        <f>Tabell226[[#This Row],[År 1]]*1.1</f>
        <v>27547.300000000003</v>
      </c>
      <c r="E8" s="9">
        <f>Tabell226[[#This Row],[År 2]]*1.1</f>
        <v>30302.030000000006</v>
      </c>
      <c r="F8" s="9">
        <f>Tabell226[[#This Row],[År 3]]*1.1</f>
        <v>33332.233000000007</v>
      </c>
      <c r="G8" s="9">
        <f>Tabell226[[#This Row],[År 4]]*1.1</f>
        <v>36665.456300000013</v>
      </c>
      <c r="H8" s="9">
        <f>Tabell226[[#This Row],[År 5]]</f>
        <v>36665.456300000013</v>
      </c>
      <c r="I8" s="9">
        <f>Tabell226[[#This Row],[År 6]]</f>
        <v>36665.456300000013</v>
      </c>
      <c r="J8" s="9">
        <f>Tabell226[[#This Row],[År 7]]</f>
        <v>36665.456300000013</v>
      </c>
      <c r="K8" s="9">
        <f>Tabell226[[#This Row],[År 8]]</f>
        <v>36665.456300000013</v>
      </c>
      <c r="L8" s="9">
        <f>Tabell226[[#This Row],[År 9]]</f>
        <v>36665.456300000013</v>
      </c>
      <c r="M8" s="9">
        <f>Tabell226[[#This Row],[År 10]]</f>
        <v>36665.456300000013</v>
      </c>
      <c r="N8" s="9">
        <f>Tabell226[[#This Row],[År 11]]</f>
        <v>36665.456300000013</v>
      </c>
      <c r="O8" s="9">
        <f>Tabell226[[#This Row],[År 12]]</f>
        <v>36665.456300000013</v>
      </c>
      <c r="P8" s="9">
        <f>Tabell226[[#This Row],[År 13]]</f>
        <v>36665.456300000013</v>
      </c>
      <c r="Q8" s="9">
        <f>Tabell226[[#This Row],[År 14]]</f>
        <v>36665.456300000013</v>
      </c>
    </row>
    <row r="9" spans="1:17" x14ac:dyDescent="0.35">
      <c r="A9" t="s">
        <v>39</v>
      </c>
      <c r="C9" s="7">
        <v>0.02</v>
      </c>
      <c r="D9" s="7">
        <f>Tabell226[[#This Row],[År 1]]+0.02</f>
        <v>0.04</v>
      </c>
      <c r="E9" s="7">
        <f>Tabell226[[#This Row],[År 2]]+0.02</f>
        <v>0.06</v>
      </c>
      <c r="F9" s="7">
        <f>Tabell226[[#This Row],[År 3]]+0.02</f>
        <v>0.08</v>
      </c>
      <c r="G9" s="7">
        <f>Tabell226[[#This Row],[År 4]]+0.02</f>
        <v>0.1</v>
      </c>
      <c r="H9" s="7">
        <f>Tabell226[[#This Row],[År 5]]+0.02</f>
        <v>0.12000000000000001</v>
      </c>
      <c r="I9" s="7">
        <f>Tabell226[[#This Row],[År 6]]+0.02</f>
        <v>0.14000000000000001</v>
      </c>
      <c r="J9" s="7">
        <f>Tabell226[[#This Row],[År 7]]+0.02</f>
        <v>0.16</v>
      </c>
      <c r="K9" s="7">
        <f>Tabell226[[#This Row],[År 8]]+0.02</f>
        <v>0.18</v>
      </c>
      <c r="L9" s="7">
        <f>Tabell226[[#This Row],[År 9]]+0.02</f>
        <v>0.19999999999999998</v>
      </c>
      <c r="M9" s="7">
        <f>Tabell226[[#This Row],[År 10]]+0.02</f>
        <v>0.21999999999999997</v>
      </c>
      <c r="N9" s="7">
        <f>Tabell226[[#This Row],[År 11]]+0.02</f>
        <v>0.23999999999999996</v>
      </c>
      <c r="O9" s="7">
        <f>Tabell226[[#This Row],[År 12]]+0.02</f>
        <v>0.25999999999999995</v>
      </c>
      <c r="P9" s="7">
        <f>Tabell226[[#This Row],[År 13]]+0.02</f>
        <v>0.27999999999999997</v>
      </c>
      <c r="Q9" s="7">
        <f>Tabell226[[#This Row],[År 14]]+0.02</f>
        <v>0.3</v>
      </c>
    </row>
    <row r="10" spans="1:17" x14ac:dyDescent="0.35">
      <c r="A10" t="s">
        <v>26</v>
      </c>
      <c r="C10" s="9">
        <v>20000</v>
      </c>
      <c r="D10" s="9">
        <v>20000</v>
      </c>
      <c r="E10" s="9">
        <v>20000</v>
      </c>
      <c r="F10" s="9">
        <v>20000</v>
      </c>
      <c r="G10" s="9">
        <v>20000</v>
      </c>
      <c r="H10" s="9">
        <v>20000</v>
      </c>
      <c r="I10" s="9">
        <v>20000</v>
      </c>
      <c r="J10" s="9">
        <v>20000</v>
      </c>
      <c r="K10" s="9">
        <v>20000</v>
      </c>
      <c r="L10" s="9">
        <v>20000</v>
      </c>
      <c r="M10" s="9">
        <v>20000</v>
      </c>
      <c r="N10" s="9">
        <v>20000</v>
      </c>
      <c r="O10" s="9">
        <v>20000</v>
      </c>
      <c r="P10" s="9">
        <v>20000</v>
      </c>
      <c r="Q10" s="9">
        <v>20000</v>
      </c>
    </row>
    <row r="11" spans="1:17" x14ac:dyDescent="0.35">
      <c r="A11" t="s">
        <v>15</v>
      </c>
      <c r="C11" s="9">
        <f>C8*(1-C9)-C10</f>
        <v>4542.1399999999994</v>
      </c>
      <c r="D11" s="9">
        <f t="shared" ref="D11:Q11" si="0">D8*(1-D9)-D10</f>
        <v>6445.4080000000031</v>
      </c>
      <c r="E11" s="9">
        <f t="shared" si="0"/>
        <v>8483.9082000000053</v>
      </c>
      <c r="F11" s="9">
        <f t="shared" si="0"/>
        <v>10665.654360000008</v>
      </c>
      <c r="G11" s="9">
        <f t="shared" si="0"/>
        <v>12998.910670000012</v>
      </c>
      <c r="H11" s="9">
        <f t="shared" si="0"/>
        <v>12265.601544000012</v>
      </c>
      <c r="I11" s="9">
        <f t="shared" si="0"/>
        <v>11532.292418000012</v>
      </c>
      <c r="J11" s="9">
        <f t="shared" si="0"/>
        <v>10798.983292000008</v>
      </c>
      <c r="K11" s="9">
        <f t="shared" si="0"/>
        <v>10065.674166000012</v>
      </c>
      <c r="L11" s="9">
        <f t="shared" si="0"/>
        <v>9332.3650400000115</v>
      </c>
      <c r="M11" s="9">
        <f t="shared" si="0"/>
        <v>8599.0559140000114</v>
      </c>
      <c r="N11" s="9">
        <f t="shared" si="0"/>
        <v>7865.7467880000113</v>
      </c>
      <c r="O11" s="9">
        <f t="shared" si="0"/>
        <v>7132.4376620000075</v>
      </c>
      <c r="P11" s="9">
        <f t="shared" si="0"/>
        <v>6399.1285360000074</v>
      </c>
      <c r="Q11" s="9">
        <f t="shared" si="0"/>
        <v>5665.8194100000073</v>
      </c>
    </row>
    <row r="12" spans="1:17" x14ac:dyDescent="0.35"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x14ac:dyDescent="0.35"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x14ac:dyDescent="0.35">
      <c r="A14" s="1" t="s">
        <v>16</v>
      </c>
      <c r="B14" s="2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</row>
    <row r="15" spans="1:17" x14ac:dyDescent="0.35">
      <c r="A15" t="s">
        <v>17</v>
      </c>
      <c r="C15" s="7">
        <f>(1+0.06)^-1</f>
        <v>0.94339622641509424</v>
      </c>
      <c r="D15" s="7">
        <f>(1+0.06)^-2</f>
        <v>0.88999644001423983</v>
      </c>
      <c r="E15" s="7">
        <f>(1+0.06)^-3</f>
        <v>0.8396192830323016</v>
      </c>
      <c r="F15" s="7">
        <f>(1+0.06)^-4</f>
        <v>0.79209366323802044</v>
      </c>
      <c r="G15" s="7">
        <f>(1+0.06)^-5</f>
        <v>0.74725817286605689</v>
      </c>
      <c r="H15" s="7">
        <f>(1+0.06)^-6</f>
        <v>0.70496054043967626</v>
      </c>
      <c r="I15" s="7">
        <f>(1+0.06)^-7</f>
        <v>0.66505711362233599</v>
      </c>
      <c r="J15" s="7">
        <f>(1+0.06)^-8</f>
        <v>0.62741237134182648</v>
      </c>
      <c r="K15" s="7">
        <f>(1+0.06)^-9</f>
        <v>0.59189846353002495</v>
      </c>
      <c r="L15" s="7">
        <f>(1+0.06)^-10</f>
        <v>0.55839477691511785</v>
      </c>
      <c r="M15" s="7">
        <f t="shared" ref="M15" si="1">(1+0.06)^-11</f>
        <v>0.52678752539162055</v>
      </c>
      <c r="N15" s="7">
        <f t="shared" ref="N15" si="2">(1+0.06)^-12</f>
        <v>0.4969693635770005</v>
      </c>
      <c r="O15" s="7">
        <f t="shared" ref="O15" si="3">(1+0.06)^-13</f>
        <v>0.46883902224245327</v>
      </c>
      <c r="P15" s="7">
        <f t="shared" ref="P15" si="4">(1+0.06)^-14</f>
        <v>0.44230096437967292</v>
      </c>
      <c r="Q15" s="7">
        <f t="shared" ref="Q15" si="5">(1+0.06)^-15</f>
        <v>0.41726506073554037</v>
      </c>
    </row>
    <row r="16" spans="1:17" x14ac:dyDescent="0.35">
      <c r="A16" t="s">
        <v>18</v>
      </c>
      <c r="B16" s="6">
        <v>892500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x14ac:dyDescent="0.35">
      <c r="A17" t="s">
        <v>19</v>
      </c>
      <c r="C17" s="9">
        <f t="shared" ref="C17:Q17" si="6">C11*C15</f>
        <v>4285.0377358490559</v>
      </c>
      <c r="D17" s="9">
        <f t="shared" si="6"/>
        <v>5736.3901744393042</v>
      </c>
      <c r="E17" s="9">
        <f t="shared" si="6"/>
        <v>7123.2529201958687</v>
      </c>
      <c r="F17" s="9">
        <f t="shared" si="6"/>
        <v>8448.1972328429711</v>
      </c>
      <c r="G17" s="9">
        <f t="shared" si="6"/>
        <v>9713.5422365132999</v>
      </c>
      <c r="H17" s="9">
        <f t="shared" si="6"/>
        <v>8646.7650932759752</v>
      </c>
      <c r="I17" s="9">
        <f t="shared" si="6"/>
        <v>7669.6331089638379</v>
      </c>
      <c r="J17" s="9">
        <f t="shared" si="6"/>
        <v>6775.4157153144888</v>
      </c>
      <c r="K17" s="9">
        <f t="shared" si="6"/>
        <v>5957.8570732492726</v>
      </c>
      <c r="L17" s="9">
        <f t="shared" si="6"/>
        <v>5211.1438946012513</v>
      </c>
      <c r="M17" s="9">
        <f t="shared" si="6"/>
        <v>4529.8753856402454</v>
      </c>
      <c r="N17" s="9">
        <f t="shared" si="6"/>
        <v>3909.0351752902016</v>
      </c>
      <c r="O17" s="9">
        <f t="shared" si="6"/>
        <v>3343.9650996573328</v>
      </c>
      <c r="P17" s="9">
        <f t="shared" si="6"/>
        <v>2830.340722662288</v>
      </c>
      <c r="Q17" s="9">
        <f t="shared" si="6"/>
        <v>2364.1484802302566</v>
      </c>
    </row>
    <row r="18" spans="1:17" x14ac:dyDescent="0.35">
      <c r="A18" t="s">
        <v>20</v>
      </c>
      <c r="B18" s="9">
        <f>SUM(C17:Q17)</f>
        <v>86544.600048725668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x14ac:dyDescent="0.35"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x14ac:dyDescent="0.35"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x14ac:dyDescent="0.35">
      <c r="A21" s="1" t="s">
        <v>22</v>
      </c>
      <c r="B21" s="2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</row>
    <row r="22" spans="1:17" x14ac:dyDescent="0.35">
      <c r="A22" t="s">
        <v>21</v>
      </c>
      <c r="B22" s="9">
        <f>B18</f>
        <v>86544.600048725668</v>
      </c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x14ac:dyDescent="0.35">
      <c r="A23" s="2" t="s">
        <v>18</v>
      </c>
      <c r="B23" s="2">
        <f>B7</f>
        <v>892500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x14ac:dyDescent="0.35">
      <c r="A24" s="3" t="s">
        <v>24</v>
      </c>
      <c r="B24" s="10">
        <f>ROUND(B22-B23, -3)</f>
        <v>-806000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E6122-6F82-44A2-BFF1-C341F89440D3}">
  <sheetPr>
    <tabColor rgb="FF92D050"/>
  </sheetPr>
  <dimension ref="A1:Q24"/>
  <sheetViews>
    <sheetView zoomScale="90" zoomScaleNormal="90" workbookViewId="0">
      <selection activeCell="B25" sqref="B25"/>
    </sheetView>
  </sheetViews>
  <sheetFormatPr defaultRowHeight="14.5" x14ac:dyDescent="0.35"/>
  <cols>
    <col min="1" max="1" width="28.453125" bestFit="1" customWidth="1"/>
    <col min="2" max="9" width="9.7265625" customWidth="1"/>
    <col min="10" max="10" width="10.54296875" customWidth="1"/>
  </cols>
  <sheetData>
    <row r="1" spans="1:17" x14ac:dyDescent="0.35">
      <c r="A1" t="s">
        <v>0</v>
      </c>
      <c r="B1" t="s">
        <v>23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30</v>
      </c>
      <c r="N1" t="s">
        <v>31</v>
      </c>
      <c r="O1" t="s">
        <v>32</v>
      </c>
      <c r="P1" t="s">
        <v>33</v>
      </c>
      <c r="Q1" t="s">
        <v>34</v>
      </c>
    </row>
    <row r="2" spans="1:17" x14ac:dyDescent="0.35">
      <c r="A2" t="s">
        <v>2</v>
      </c>
      <c r="B2" s="4" t="s">
        <v>28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x14ac:dyDescent="0.35">
      <c r="A3" s="2" t="s">
        <v>1</v>
      </c>
      <c r="B3" s="5" t="s">
        <v>29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x14ac:dyDescent="0.35"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x14ac:dyDescent="0.35"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spans="1:17" x14ac:dyDescent="0.35">
      <c r="A6" s="1" t="s">
        <v>3</v>
      </c>
      <c r="B6" s="2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x14ac:dyDescent="0.35">
      <c r="A7" t="s">
        <v>14</v>
      </c>
      <c r="B7" s="6">
        <v>892500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 x14ac:dyDescent="0.35">
      <c r="A8" t="s">
        <v>25</v>
      </c>
      <c r="C8" s="9">
        <v>7115</v>
      </c>
      <c r="D8" s="9">
        <f>Tabell2267[[#This Row],[År 1]]*1.2</f>
        <v>8538</v>
      </c>
      <c r="E8" s="9">
        <f>Tabell2267[[#This Row],[År 2]]*1.2</f>
        <v>10245.6</v>
      </c>
      <c r="F8" s="9">
        <f>Tabell2267[[#This Row],[År 3]]</f>
        <v>10245.6</v>
      </c>
      <c r="G8" s="9">
        <f>Tabell2267[[#This Row],[År 4]]</f>
        <v>10245.6</v>
      </c>
      <c r="H8" s="9">
        <f>Tabell2267[[#This Row],[År 5]]</f>
        <v>10245.6</v>
      </c>
      <c r="I8" s="9">
        <f>Tabell2267[[#This Row],[År 6]]</f>
        <v>10245.6</v>
      </c>
      <c r="J8" s="9">
        <f>Tabell2267[[#This Row],[År 7]]</f>
        <v>10245.6</v>
      </c>
      <c r="K8" s="9">
        <f>Tabell2267[[#This Row],[År 8]]</f>
        <v>10245.6</v>
      </c>
      <c r="L8" s="9">
        <f>Tabell2267[[#This Row],[År 9]]</f>
        <v>10245.6</v>
      </c>
      <c r="M8" s="9">
        <f>Tabell2267[[#This Row],[År 10]]</f>
        <v>10245.6</v>
      </c>
      <c r="N8" s="9">
        <f>Tabell2267[[#This Row],[År 11]]</f>
        <v>10245.6</v>
      </c>
      <c r="O8" s="9">
        <f>Tabell2267[[#This Row],[År 12]]</f>
        <v>10245.6</v>
      </c>
      <c r="P8" s="9">
        <f>Tabell2267[[#This Row],[År 13]]</f>
        <v>10245.6</v>
      </c>
      <c r="Q8" s="9">
        <f>Tabell2267[[#This Row],[År 14]]</f>
        <v>10245.6</v>
      </c>
    </row>
    <row r="9" spans="1:17" x14ac:dyDescent="0.35">
      <c r="A9" t="s">
        <v>39</v>
      </c>
      <c r="C9" s="7">
        <v>0.02</v>
      </c>
      <c r="D9" s="7">
        <f>Tabell2267[[#This Row],[År 1]]+0.02</f>
        <v>0.04</v>
      </c>
      <c r="E9" s="7">
        <f>Tabell2267[[#This Row],[År 2]]+0.02</f>
        <v>0.06</v>
      </c>
      <c r="F9" s="7">
        <f>Tabell2267[[#This Row],[År 3]]+0.02</f>
        <v>0.08</v>
      </c>
      <c r="G9" s="7">
        <f>Tabell2267[[#This Row],[År 4]]+0.02</f>
        <v>0.1</v>
      </c>
      <c r="H9" s="7">
        <f>Tabell2267[[#This Row],[År 5]]+0.02</f>
        <v>0.12000000000000001</v>
      </c>
      <c r="I9" s="7">
        <f>Tabell2267[[#This Row],[År 6]]+0.02</f>
        <v>0.14000000000000001</v>
      </c>
      <c r="J9" s="7">
        <f>Tabell2267[[#This Row],[År 7]]+0.02</f>
        <v>0.16</v>
      </c>
      <c r="K9" s="7">
        <f>Tabell2267[[#This Row],[År 8]]+0.02</f>
        <v>0.18</v>
      </c>
      <c r="L9" s="7">
        <f>Tabell2267[[#This Row],[År 9]]+0.02</f>
        <v>0.19999999999999998</v>
      </c>
      <c r="M9" s="7">
        <f>Tabell2267[[#This Row],[År 10]]+0.02</f>
        <v>0.21999999999999997</v>
      </c>
      <c r="N9" s="7">
        <f>Tabell2267[[#This Row],[År 11]]+0.02</f>
        <v>0.23999999999999996</v>
      </c>
      <c r="O9" s="7">
        <f>Tabell2267[[#This Row],[År 12]]+0.02</f>
        <v>0.25999999999999995</v>
      </c>
      <c r="P9" s="7">
        <f>Tabell2267[[#This Row],[År 13]]+0.02</f>
        <v>0.27999999999999997</v>
      </c>
      <c r="Q9" s="7">
        <f>Tabell2267[[#This Row],[År 14]]+0.02</f>
        <v>0.3</v>
      </c>
    </row>
    <row r="10" spans="1:17" x14ac:dyDescent="0.35">
      <c r="A10" t="s">
        <v>26</v>
      </c>
      <c r="C10" s="9">
        <v>20000</v>
      </c>
      <c r="D10" s="9">
        <v>20000</v>
      </c>
      <c r="E10" s="9">
        <v>20000</v>
      </c>
      <c r="F10" s="9">
        <v>20000</v>
      </c>
      <c r="G10" s="9">
        <v>20000</v>
      </c>
      <c r="H10" s="9">
        <v>20000</v>
      </c>
      <c r="I10" s="9">
        <v>20000</v>
      </c>
      <c r="J10" s="9">
        <v>20000</v>
      </c>
      <c r="K10" s="9">
        <v>20000</v>
      </c>
      <c r="L10" s="9">
        <v>20000</v>
      </c>
      <c r="M10" s="9">
        <v>20000</v>
      </c>
      <c r="N10" s="9">
        <v>20000</v>
      </c>
      <c r="O10" s="9">
        <v>20000</v>
      </c>
      <c r="P10" s="9">
        <v>20000</v>
      </c>
      <c r="Q10" s="9">
        <v>20000</v>
      </c>
    </row>
    <row r="11" spans="1:17" x14ac:dyDescent="0.35">
      <c r="A11" t="s">
        <v>15</v>
      </c>
      <c r="C11" s="9">
        <f>C8*(1-C9)-C10</f>
        <v>-13027.3</v>
      </c>
      <c r="D11" s="9">
        <f t="shared" ref="D11:Q11" si="0">D8*(1-D9)-D10</f>
        <v>-11803.52</v>
      </c>
      <c r="E11" s="9">
        <f t="shared" si="0"/>
        <v>-10369.136</v>
      </c>
      <c r="F11" s="9">
        <f t="shared" si="0"/>
        <v>-10574.047999999999</v>
      </c>
      <c r="G11" s="9">
        <f t="shared" si="0"/>
        <v>-10778.96</v>
      </c>
      <c r="H11" s="9">
        <f t="shared" si="0"/>
        <v>-10983.871999999999</v>
      </c>
      <c r="I11" s="9">
        <f t="shared" si="0"/>
        <v>-11188.784</v>
      </c>
      <c r="J11" s="9">
        <f t="shared" si="0"/>
        <v>-11393.696</v>
      </c>
      <c r="K11" s="9">
        <f t="shared" si="0"/>
        <v>-11598.607999999998</v>
      </c>
      <c r="L11" s="9">
        <f t="shared" si="0"/>
        <v>-11803.519999999999</v>
      </c>
      <c r="M11" s="9">
        <f t="shared" si="0"/>
        <v>-12008.432000000001</v>
      </c>
      <c r="N11" s="9">
        <f t="shared" si="0"/>
        <v>-12213.344000000001</v>
      </c>
      <c r="O11" s="9">
        <f t="shared" si="0"/>
        <v>-12418.255999999999</v>
      </c>
      <c r="P11" s="9">
        <f t="shared" si="0"/>
        <v>-12623.168</v>
      </c>
      <c r="Q11" s="9">
        <f t="shared" si="0"/>
        <v>-12828.08</v>
      </c>
    </row>
    <row r="12" spans="1:17" x14ac:dyDescent="0.35"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x14ac:dyDescent="0.35"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x14ac:dyDescent="0.35">
      <c r="A14" s="1" t="s">
        <v>16</v>
      </c>
      <c r="B14" s="2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</row>
    <row r="15" spans="1:17" x14ac:dyDescent="0.35">
      <c r="A15" t="s">
        <v>17</v>
      </c>
      <c r="C15" s="7">
        <f>(1+0.06)^-1</f>
        <v>0.94339622641509424</v>
      </c>
      <c r="D15" s="7">
        <f>(1+0.06)^-2</f>
        <v>0.88999644001423983</v>
      </c>
      <c r="E15" s="7">
        <f>(1+0.06)^-3</f>
        <v>0.8396192830323016</v>
      </c>
      <c r="F15" s="7">
        <f>(1+0.06)^-4</f>
        <v>0.79209366323802044</v>
      </c>
      <c r="G15" s="7">
        <f>(1+0.06)^-5</f>
        <v>0.74725817286605689</v>
      </c>
      <c r="H15" s="7">
        <f>(1+0.06)^-6</f>
        <v>0.70496054043967626</v>
      </c>
      <c r="I15" s="7">
        <f>(1+0.06)^-7</f>
        <v>0.66505711362233599</v>
      </c>
      <c r="J15" s="7">
        <f>(1+0.06)^-8</f>
        <v>0.62741237134182648</v>
      </c>
      <c r="K15" s="7">
        <f>(1+0.06)^-9</f>
        <v>0.59189846353002495</v>
      </c>
      <c r="L15" s="7">
        <f>(1+0.06)^-10</f>
        <v>0.55839477691511785</v>
      </c>
      <c r="M15" s="7">
        <f t="shared" ref="M15" si="1">(1+0.06)^-11</f>
        <v>0.52678752539162055</v>
      </c>
      <c r="N15" s="7">
        <f t="shared" ref="N15" si="2">(1+0.06)^-12</f>
        <v>0.4969693635770005</v>
      </c>
      <c r="O15" s="7">
        <f t="shared" ref="O15" si="3">(1+0.06)^-13</f>
        <v>0.46883902224245327</v>
      </c>
      <c r="P15" s="7">
        <f t="shared" ref="P15" si="4">(1+0.06)^-14</f>
        <v>0.44230096437967292</v>
      </c>
      <c r="Q15" s="7">
        <f t="shared" ref="Q15" si="5">(1+0.06)^-15</f>
        <v>0.41726506073554037</v>
      </c>
    </row>
    <row r="16" spans="1:17" x14ac:dyDescent="0.35">
      <c r="A16" t="s">
        <v>18</v>
      </c>
      <c r="B16" s="6">
        <v>892500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x14ac:dyDescent="0.35">
      <c r="A17" t="s">
        <v>19</v>
      </c>
      <c r="C17" s="9">
        <f t="shared" ref="C17:Q17" si="6">C11*C15</f>
        <v>-12289.905660377357</v>
      </c>
      <c r="D17" s="9">
        <f t="shared" si="6"/>
        <v>-10505.090779636881</v>
      </c>
      <c r="E17" s="9">
        <f t="shared" si="6"/>
        <v>-8706.1265339844285</v>
      </c>
      <c r="F17" s="9">
        <f t="shared" si="6"/>
        <v>-8375.6364155746633</v>
      </c>
      <c r="G17" s="9">
        <f t="shared" si="6"/>
        <v>-8054.6659549963115</v>
      </c>
      <c r="H17" s="9">
        <f t="shared" si="6"/>
        <v>-7743.1963412402274</v>
      </c>
      <c r="I17" s="9">
        <f t="shared" si="6"/>
        <v>-7441.1803919837748</v>
      </c>
      <c r="J17" s="9">
        <f t="shared" si="6"/>
        <v>-7148.5458257078826</v>
      </c>
      <c r="K17" s="9">
        <f t="shared" si="6"/>
        <v>-6865.1982542870546</v>
      </c>
      <c r="L17" s="9">
        <f t="shared" si="6"/>
        <v>-6591.0239172131314</v>
      </c>
      <c r="M17" s="9">
        <f t="shared" si="6"/>
        <v>-6325.8921771135492</v>
      </c>
      <c r="N17" s="9">
        <f t="shared" si="6"/>
        <v>-6069.6577948269778</v>
      </c>
      <c r="O17" s="9">
        <f t="shared" si="6"/>
        <v>-5822.1630009964783</v>
      </c>
      <c r="P17" s="9">
        <f t="shared" si="6"/>
        <v>-5583.2393799266265</v>
      </c>
      <c r="Q17" s="9">
        <f t="shared" si="6"/>
        <v>-5352.7095803203711</v>
      </c>
    </row>
    <row r="18" spans="1:17" x14ac:dyDescent="0.35">
      <c r="A18" t="s">
        <v>20</v>
      </c>
      <c r="B18" s="9">
        <f>SUM(C17:Q17)</f>
        <v>-112874.2320081857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x14ac:dyDescent="0.35"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x14ac:dyDescent="0.35"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x14ac:dyDescent="0.35">
      <c r="A21" s="1" t="s">
        <v>22</v>
      </c>
      <c r="B21" s="2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</row>
    <row r="22" spans="1:17" x14ac:dyDescent="0.35">
      <c r="A22" t="s">
        <v>21</v>
      </c>
      <c r="B22" s="9">
        <f>B18</f>
        <v>-112874.2320081857</v>
      </c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x14ac:dyDescent="0.35">
      <c r="A23" s="2" t="s">
        <v>18</v>
      </c>
      <c r="B23" s="2">
        <f>B7</f>
        <v>892500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x14ac:dyDescent="0.35">
      <c r="A24" s="3" t="s">
        <v>24</v>
      </c>
      <c r="B24" s="10">
        <f>ROUND(B22-B23, -3)</f>
        <v>-1005000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013EA-4762-4063-A2BD-38612760D9C4}">
  <sheetPr>
    <tabColor rgb="FF00B0F0"/>
  </sheetPr>
  <dimension ref="A1:Q24"/>
  <sheetViews>
    <sheetView zoomScale="90" zoomScaleNormal="90" workbookViewId="0">
      <selection activeCell="B25" sqref="B25"/>
    </sheetView>
  </sheetViews>
  <sheetFormatPr defaultRowHeight="14.5" x14ac:dyDescent="0.35"/>
  <cols>
    <col min="1" max="1" width="28.453125" bestFit="1" customWidth="1"/>
    <col min="2" max="9" width="9.7265625" customWidth="1"/>
    <col min="10" max="10" width="10.54296875" customWidth="1"/>
  </cols>
  <sheetData>
    <row r="1" spans="1:17" x14ac:dyDescent="0.35">
      <c r="A1" t="s">
        <v>0</v>
      </c>
      <c r="B1" t="s">
        <v>23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30</v>
      </c>
      <c r="N1" t="s">
        <v>31</v>
      </c>
      <c r="O1" t="s">
        <v>32</v>
      </c>
      <c r="P1" t="s">
        <v>33</v>
      </c>
      <c r="Q1" t="s">
        <v>34</v>
      </c>
    </row>
    <row r="2" spans="1:17" x14ac:dyDescent="0.35">
      <c r="A2" t="s">
        <v>2</v>
      </c>
      <c r="B2" s="4" t="s">
        <v>28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x14ac:dyDescent="0.35">
      <c r="A3" s="2" t="s">
        <v>1</v>
      </c>
      <c r="B3" s="5" t="s">
        <v>29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x14ac:dyDescent="0.35"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x14ac:dyDescent="0.35"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spans="1:17" x14ac:dyDescent="0.35">
      <c r="A6" s="1" t="s">
        <v>3</v>
      </c>
      <c r="B6" s="2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x14ac:dyDescent="0.35">
      <c r="A7" t="s">
        <v>14</v>
      </c>
      <c r="B7" s="6">
        <v>892500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 x14ac:dyDescent="0.35">
      <c r="A8" t="s">
        <v>25</v>
      </c>
      <c r="C8" s="9">
        <f>58000*1.09</f>
        <v>63220.000000000007</v>
      </c>
      <c r="D8" s="9">
        <f>Tabell25[[#This Row],[År 1]]*1.01</f>
        <v>63852.200000000004</v>
      </c>
      <c r="E8" s="9">
        <f>Tabell25[[#This Row],[År 2]]*1.01</f>
        <v>64490.722000000002</v>
      </c>
      <c r="F8" s="9">
        <f>Tabell25[[#This Row],[År 3]]*1.01</f>
        <v>65135.629220000003</v>
      </c>
      <c r="G8" s="9">
        <f>Tabell25[[#This Row],[År 4]]*1.01</f>
        <v>65786.985512200001</v>
      </c>
      <c r="H8" s="9">
        <f>Tabell25[[#This Row],[År 5]]*1.01</f>
        <v>66444.855367322001</v>
      </c>
      <c r="I8" s="9">
        <f>Tabell25[[#This Row],[År 6]]*1.01</f>
        <v>67109.303920995226</v>
      </c>
      <c r="J8" s="9">
        <f>Tabell25[[#This Row],[År 7]]*1.01</f>
        <v>67780.39696020518</v>
      </c>
      <c r="K8" s="9">
        <f>Tabell25[[#This Row],[År 8]]*1.01</f>
        <v>68458.200929807237</v>
      </c>
      <c r="L8" s="9">
        <f>Tabell25[[#This Row],[År 9]]*1.01</f>
        <v>69142.782939105309</v>
      </c>
      <c r="M8" s="9">
        <f>Tabell25[[#This Row],[År 10]]*1.01</f>
        <v>69834.210768496356</v>
      </c>
      <c r="N8" s="9">
        <f>Tabell25[[#This Row],[År 11]]*1.01</f>
        <v>70532.552876181318</v>
      </c>
      <c r="O8" s="9">
        <f>Tabell25[[#This Row],[År 12]]*1.01</f>
        <v>71237.878404943127</v>
      </c>
      <c r="P8" s="9">
        <f>Tabell25[[#This Row],[År 13]]*1.01</f>
        <v>71950.25718899256</v>
      </c>
      <c r="Q8" s="9">
        <f>Tabell25[[#This Row],[År 14]]*1.01</f>
        <v>72669.759760882487</v>
      </c>
    </row>
    <row r="9" spans="1:17" x14ac:dyDescent="0.35">
      <c r="A9" t="s">
        <v>39</v>
      </c>
      <c r="C9" s="7">
        <v>0.02</v>
      </c>
      <c r="D9" s="7">
        <f>Tabell25[[#This Row],[År 1]]+0.02</f>
        <v>0.04</v>
      </c>
      <c r="E9" s="7">
        <f>Tabell25[[#This Row],[År 2]]+0.02</f>
        <v>0.06</v>
      </c>
      <c r="F9" s="7">
        <f>Tabell25[[#This Row],[År 3]]+0.02</f>
        <v>0.08</v>
      </c>
      <c r="G9" s="7">
        <f>Tabell25[[#This Row],[År 4]]+0.02</f>
        <v>0.1</v>
      </c>
      <c r="H9" s="7">
        <f>Tabell25[[#This Row],[År 5]]+0.02</f>
        <v>0.12000000000000001</v>
      </c>
      <c r="I9" s="7">
        <f>Tabell25[[#This Row],[År 6]]+0.02</f>
        <v>0.14000000000000001</v>
      </c>
      <c r="J9" s="7">
        <f>Tabell25[[#This Row],[År 7]]+0.02</f>
        <v>0.16</v>
      </c>
      <c r="K9" s="7">
        <f>Tabell25[[#This Row],[År 8]]+0.02</f>
        <v>0.18</v>
      </c>
      <c r="L9" s="7">
        <f>Tabell25[[#This Row],[År 9]]+0.02</f>
        <v>0.19999999999999998</v>
      </c>
      <c r="M9" s="7">
        <f>Tabell25[[#This Row],[År 10]]+0.02</f>
        <v>0.21999999999999997</v>
      </c>
      <c r="N9" s="7">
        <f>Tabell25[[#This Row],[År 11]]+0.02</f>
        <v>0.23999999999999996</v>
      </c>
      <c r="O9" s="7">
        <f>Tabell25[[#This Row],[År 12]]+0.02</f>
        <v>0.25999999999999995</v>
      </c>
      <c r="P9" s="7">
        <f>Tabell25[[#This Row],[År 13]]+0.02</f>
        <v>0.27999999999999997</v>
      </c>
      <c r="Q9" s="7">
        <f>Tabell25[[#This Row],[År 14]]+0.02</f>
        <v>0.3</v>
      </c>
    </row>
    <row r="10" spans="1:17" x14ac:dyDescent="0.35">
      <c r="A10" t="s">
        <v>26</v>
      </c>
      <c r="C10" s="9">
        <v>20000</v>
      </c>
      <c r="D10" s="9">
        <v>20000</v>
      </c>
      <c r="E10" s="9">
        <v>20000</v>
      </c>
      <c r="F10" s="9">
        <v>20000</v>
      </c>
      <c r="G10" s="9">
        <v>20000</v>
      </c>
      <c r="H10" s="9">
        <v>20000</v>
      </c>
      <c r="I10" s="9">
        <v>20000</v>
      </c>
      <c r="J10" s="9">
        <v>20000</v>
      </c>
      <c r="K10" s="9">
        <v>20000</v>
      </c>
      <c r="L10" s="9">
        <v>20000</v>
      </c>
      <c r="M10" s="9">
        <v>20000</v>
      </c>
      <c r="N10" s="9">
        <v>20000</v>
      </c>
      <c r="O10" s="9">
        <v>20000</v>
      </c>
      <c r="P10" s="9">
        <v>20000</v>
      </c>
      <c r="Q10" s="9">
        <v>20000</v>
      </c>
    </row>
    <row r="11" spans="1:17" x14ac:dyDescent="0.35">
      <c r="A11" t="s">
        <v>15</v>
      </c>
      <c r="C11" s="9">
        <f>C8*(1-C9)-C10</f>
        <v>41955.600000000006</v>
      </c>
      <c r="D11" s="9">
        <f t="shared" ref="D11:Q11" si="0">D8*(1-D9)-D10</f>
        <v>41298.112000000001</v>
      </c>
      <c r="E11" s="9">
        <f t="shared" si="0"/>
        <v>40621.278679999996</v>
      </c>
      <c r="F11" s="9">
        <f t="shared" si="0"/>
        <v>39924.778882400002</v>
      </c>
      <c r="G11" s="9">
        <f t="shared" si="0"/>
        <v>39208.286960980004</v>
      </c>
      <c r="H11" s="9">
        <f t="shared" si="0"/>
        <v>38471.472723243358</v>
      </c>
      <c r="I11" s="9">
        <f t="shared" si="0"/>
        <v>37714.001372055893</v>
      </c>
      <c r="J11" s="9">
        <f t="shared" si="0"/>
        <v>36935.53344657235</v>
      </c>
      <c r="K11" s="9">
        <f t="shared" si="0"/>
        <v>36135.72476244194</v>
      </c>
      <c r="L11" s="9">
        <f t="shared" si="0"/>
        <v>35314.226351284247</v>
      </c>
      <c r="M11" s="9">
        <f t="shared" si="0"/>
        <v>34470.684399427162</v>
      </c>
      <c r="N11" s="9">
        <f t="shared" si="0"/>
        <v>33604.740185897805</v>
      </c>
      <c r="O11" s="9">
        <f t="shared" si="0"/>
        <v>32716.030019657912</v>
      </c>
      <c r="P11" s="9">
        <f t="shared" si="0"/>
        <v>31804.185176074643</v>
      </c>
      <c r="Q11" s="9">
        <f t="shared" si="0"/>
        <v>30868.83183261774</v>
      </c>
    </row>
    <row r="12" spans="1:17" x14ac:dyDescent="0.35"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x14ac:dyDescent="0.35"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x14ac:dyDescent="0.35">
      <c r="A14" s="1" t="s">
        <v>16</v>
      </c>
      <c r="B14" s="2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</row>
    <row r="15" spans="1:17" x14ac:dyDescent="0.35">
      <c r="A15" t="s">
        <v>17</v>
      </c>
      <c r="C15" s="7">
        <f>(1+0.06)^-1</f>
        <v>0.94339622641509424</v>
      </c>
      <c r="D15" s="7">
        <f>(1+0.06)^-2</f>
        <v>0.88999644001423983</v>
      </c>
      <c r="E15" s="7">
        <f>(1+0.06)^-3</f>
        <v>0.8396192830323016</v>
      </c>
      <c r="F15" s="7">
        <f>(1+0.06)^-4</f>
        <v>0.79209366323802044</v>
      </c>
      <c r="G15" s="7">
        <f>(1+0.06)^-5</f>
        <v>0.74725817286605689</v>
      </c>
      <c r="H15" s="7">
        <f>(1+0.06)^-6</f>
        <v>0.70496054043967626</v>
      </c>
      <c r="I15" s="7">
        <f>(1+0.06)^-7</f>
        <v>0.66505711362233599</v>
      </c>
      <c r="J15" s="7">
        <f>(1+0.06)^-8</f>
        <v>0.62741237134182648</v>
      </c>
      <c r="K15" s="7">
        <f>(1+0.06)^-9</f>
        <v>0.59189846353002495</v>
      </c>
      <c r="L15" s="7">
        <f>(1+0.06)^-10</f>
        <v>0.55839477691511785</v>
      </c>
      <c r="M15" s="7">
        <f t="shared" ref="M15" si="1">(1+0.06)^-11</f>
        <v>0.52678752539162055</v>
      </c>
      <c r="N15" s="7">
        <f t="shared" ref="N15" si="2">(1+0.06)^-12</f>
        <v>0.4969693635770005</v>
      </c>
      <c r="O15" s="7">
        <f t="shared" ref="O15" si="3">(1+0.06)^-13</f>
        <v>0.46883902224245327</v>
      </c>
      <c r="P15" s="7">
        <f t="shared" ref="P15" si="4">(1+0.06)^-14</f>
        <v>0.44230096437967292</v>
      </c>
      <c r="Q15" s="7">
        <f t="shared" ref="Q15" si="5">(1+0.06)^-15</f>
        <v>0.41726506073554037</v>
      </c>
    </row>
    <row r="16" spans="1:17" x14ac:dyDescent="0.35">
      <c r="A16" t="s">
        <v>18</v>
      </c>
      <c r="B16" s="6">
        <v>892500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x14ac:dyDescent="0.35">
      <c r="A17" t="s">
        <v>19</v>
      </c>
      <c r="C17" s="9">
        <f t="shared" ref="C17:Q17" si="6">C11*C15</f>
        <v>39580.754716981137</v>
      </c>
      <c r="D17" s="9">
        <f t="shared" si="6"/>
        <v>36755.172659309363</v>
      </c>
      <c r="E17" s="9">
        <f t="shared" si="6"/>
        <v>34106.408881156916</v>
      </c>
      <c r="F17" s="9">
        <f t="shared" si="6"/>
        <v>31624.164358928178</v>
      </c>
      <c r="G17" s="9">
        <f t="shared" si="6"/>
        <v>29298.71287566996</v>
      </c>
      <c r="H17" s="9">
        <f t="shared" si="6"/>
        <v>27120.870202487902</v>
      </c>
      <c r="I17" s="9">
        <f t="shared" si="6"/>
        <v>25081.964895648311</v>
      </c>
      <c r="J17" s="9">
        <f t="shared" si="6"/>
        <v>23173.810626489303</v>
      </c>
      <c r="K17" s="9">
        <f t="shared" si="6"/>
        <v>21388.679965433261</v>
      </c>
      <c r="L17" s="9">
        <f t="shared" si="6"/>
        <v>19719.279545355344</v>
      </c>
      <c r="M17" s="9">
        <f t="shared" si="6"/>
        <v>18158.726533329773</v>
      </c>
      <c r="N17" s="9">
        <f t="shared" si="6"/>
        <v>16700.526343356087</v>
      </c>
      <c r="O17" s="9">
        <f t="shared" si="6"/>
        <v>15338.551526071165</v>
      </c>
      <c r="P17" s="9">
        <f t="shared" si="6"/>
        <v>14067.021774687511</v>
      </c>
      <c r="Q17" s="9">
        <f t="shared" si="6"/>
        <v>12880.484989472423</v>
      </c>
    </row>
    <row r="18" spans="1:17" x14ac:dyDescent="0.35">
      <c r="A18" t="s">
        <v>20</v>
      </c>
      <c r="B18" s="9">
        <f>SUM(C17:Q17)</f>
        <v>364995.12989437662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x14ac:dyDescent="0.35"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x14ac:dyDescent="0.35"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x14ac:dyDescent="0.35">
      <c r="A21" s="1" t="s">
        <v>22</v>
      </c>
      <c r="B21" s="2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</row>
    <row r="22" spans="1:17" x14ac:dyDescent="0.35">
      <c r="A22" t="s">
        <v>21</v>
      </c>
      <c r="B22" s="9">
        <f>B18</f>
        <v>364995.12989437662</v>
      </c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x14ac:dyDescent="0.35">
      <c r="A23" s="2" t="s">
        <v>18</v>
      </c>
      <c r="B23" s="2">
        <f>B7</f>
        <v>892500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x14ac:dyDescent="0.35">
      <c r="A24" s="3" t="s">
        <v>24</v>
      </c>
      <c r="B24" s="10">
        <f>ROUND(B22-B23, -3)</f>
        <v>-528000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1CC43-423E-443C-9EFB-A46D71C71710}">
  <sheetPr>
    <tabColor theme="5"/>
  </sheetPr>
  <dimension ref="A1:Q24"/>
  <sheetViews>
    <sheetView zoomScale="90" zoomScaleNormal="90" workbookViewId="0">
      <selection activeCell="B25" sqref="B25"/>
    </sheetView>
  </sheetViews>
  <sheetFormatPr defaultRowHeight="14.5" x14ac:dyDescent="0.35"/>
  <cols>
    <col min="1" max="1" width="28.453125" bestFit="1" customWidth="1"/>
    <col min="2" max="9" width="9.7265625" customWidth="1"/>
    <col min="10" max="10" width="10.54296875" customWidth="1"/>
  </cols>
  <sheetData>
    <row r="1" spans="1:17" x14ac:dyDescent="0.35">
      <c r="A1" t="s">
        <v>0</v>
      </c>
      <c r="B1" t="s">
        <v>23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30</v>
      </c>
      <c r="N1" t="s">
        <v>31</v>
      </c>
      <c r="O1" t="s">
        <v>32</v>
      </c>
      <c r="P1" t="s">
        <v>33</v>
      </c>
      <c r="Q1" t="s">
        <v>34</v>
      </c>
    </row>
    <row r="2" spans="1:17" x14ac:dyDescent="0.35">
      <c r="A2" t="s">
        <v>2</v>
      </c>
      <c r="B2" s="4" t="s">
        <v>28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x14ac:dyDescent="0.35">
      <c r="A3" s="2" t="s">
        <v>1</v>
      </c>
      <c r="B3" s="5" t="s">
        <v>29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x14ac:dyDescent="0.35"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x14ac:dyDescent="0.35"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spans="1:17" x14ac:dyDescent="0.35">
      <c r="A6" s="1" t="s">
        <v>3</v>
      </c>
      <c r="B6" s="2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x14ac:dyDescent="0.35">
      <c r="A7" t="s">
        <v>14</v>
      </c>
      <c r="B7" s="6">
        <v>892500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 x14ac:dyDescent="0.35">
      <c r="A8" t="s">
        <v>25</v>
      </c>
      <c r="C8" s="9">
        <v>18785</v>
      </c>
      <c r="D8" s="9">
        <v>18785</v>
      </c>
      <c r="E8" s="9">
        <v>18785</v>
      </c>
      <c r="F8" s="9">
        <v>18785</v>
      </c>
      <c r="G8" s="9">
        <v>18785</v>
      </c>
      <c r="H8" s="9">
        <v>18785</v>
      </c>
      <c r="I8" s="9">
        <v>18785</v>
      </c>
      <c r="J8" s="9">
        <v>18785</v>
      </c>
      <c r="K8" s="9">
        <v>18785</v>
      </c>
      <c r="L8" s="9">
        <v>18785</v>
      </c>
      <c r="M8" s="9">
        <v>18785</v>
      </c>
      <c r="N8" s="9">
        <v>18785</v>
      </c>
      <c r="O8" s="9">
        <v>18785</v>
      </c>
      <c r="P8" s="9">
        <v>18785</v>
      </c>
      <c r="Q8" s="9">
        <v>18785</v>
      </c>
    </row>
    <row r="9" spans="1:17" x14ac:dyDescent="0.35">
      <c r="A9" t="s">
        <v>39</v>
      </c>
      <c r="C9" s="7">
        <v>0.02</v>
      </c>
      <c r="D9" s="7">
        <f>Tabell258[[#This Row],[År 1]]+0.02</f>
        <v>0.04</v>
      </c>
      <c r="E9" s="7">
        <f>Tabell258[[#This Row],[År 2]]+0.02</f>
        <v>0.06</v>
      </c>
      <c r="F9" s="7">
        <f>Tabell258[[#This Row],[År 3]]+0.02</f>
        <v>0.08</v>
      </c>
      <c r="G9" s="7">
        <f>Tabell258[[#This Row],[År 4]]+0.02</f>
        <v>0.1</v>
      </c>
      <c r="H9" s="7">
        <f>Tabell258[[#This Row],[År 5]]+0.02</f>
        <v>0.12000000000000001</v>
      </c>
      <c r="I9" s="7">
        <f>Tabell258[[#This Row],[År 6]]+0.02</f>
        <v>0.14000000000000001</v>
      </c>
      <c r="J9" s="7">
        <f>Tabell258[[#This Row],[År 7]]+0.02</f>
        <v>0.16</v>
      </c>
      <c r="K9" s="7">
        <f>Tabell258[[#This Row],[År 8]]+0.02</f>
        <v>0.18</v>
      </c>
      <c r="L9" s="7">
        <f>Tabell258[[#This Row],[År 9]]+0.02</f>
        <v>0.19999999999999998</v>
      </c>
      <c r="M9" s="7">
        <f>Tabell258[[#This Row],[År 10]]+0.02</f>
        <v>0.21999999999999997</v>
      </c>
      <c r="N9" s="7">
        <f>Tabell258[[#This Row],[År 11]]+0.02</f>
        <v>0.23999999999999996</v>
      </c>
      <c r="O9" s="7">
        <f>Tabell258[[#This Row],[År 12]]+0.02</f>
        <v>0.25999999999999995</v>
      </c>
      <c r="P9" s="7">
        <f>Tabell258[[#This Row],[År 13]]+0.02</f>
        <v>0.27999999999999997</v>
      </c>
      <c r="Q9" s="7">
        <f>Tabell258[[#This Row],[År 14]]+0.02</f>
        <v>0.3</v>
      </c>
    </row>
    <row r="10" spans="1:17" x14ac:dyDescent="0.35">
      <c r="A10" t="s">
        <v>26</v>
      </c>
      <c r="C10" s="9">
        <v>20000</v>
      </c>
      <c r="D10" s="9">
        <v>20000</v>
      </c>
      <c r="E10" s="9">
        <v>20000</v>
      </c>
      <c r="F10" s="9">
        <v>20000</v>
      </c>
      <c r="G10" s="9">
        <v>20000</v>
      </c>
      <c r="H10" s="9">
        <v>20000</v>
      </c>
      <c r="I10" s="9">
        <v>20000</v>
      </c>
      <c r="J10" s="9">
        <v>20000</v>
      </c>
      <c r="K10" s="9">
        <v>20000</v>
      </c>
      <c r="L10" s="9">
        <v>20000</v>
      </c>
      <c r="M10" s="9">
        <v>20000</v>
      </c>
      <c r="N10" s="9">
        <v>20000</v>
      </c>
      <c r="O10" s="9">
        <v>20000</v>
      </c>
      <c r="P10" s="9">
        <v>20000</v>
      </c>
      <c r="Q10" s="9">
        <v>20000</v>
      </c>
    </row>
    <row r="11" spans="1:17" x14ac:dyDescent="0.35">
      <c r="A11" t="s">
        <v>15</v>
      </c>
      <c r="C11" s="9">
        <f>C8*(1-C9)-C10</f>
        <v>-1590.7000000000007</v>
      </c>
      <c r="D11" s="9">
        <f t="shared" ref="D11:Q11" si="0">D8*(1-D9)-D10</f>
        <v>-1966.4000000000015</v>
      </c>
      <c r="E11" s="9">
        <f t="shared" si="0"/>
        <v>-2342.1000000000022</v>
      </c>
      <c r="F11" s="9">
        <f t="shared" si="0"/>
        <v>-2717.7999999999993</v>
      </c>
      <c r="G11" s="9">
        <f t="shared" si="0"/>
        <v>-3093.5</v>
      </c>
      <c r="H11" s="9">
        <f t="shared" si="0"/>
        <v>-3469.2000000000007</v>
      </c>
      <c r="I11" s="9">
        <f t="shared" si="0"/>
        <v>-3844.8999999999996</v>
      </c>
      <c r="J11" s="9">
        <f t="shared" si="0"/>
        <v>-4220.6000000000004</v>
      </c>
      <c r="K11" s="9">
        <f t="shared" si="0"/>
        <v>-4596.2999999999993</v>
      </c>
      <c r="L11" s="9">
        <f t="shared" si="0"/>
        <v>-4972</v>
      </c>
      <c r="M11" s="9">
        <f t="shared" si="0"/>
        <v>-5347.6999999999989</v>
      </c>
      <c r="N11" s="9">
        <f t="shared" si="0"/>
        <v>-5723.4</v>
      </c>
      <c r="O11" s="9">
        <f t="shared" si="0"/>
        <v>-6099.1</v>
      </c>
      <c r="P11" s="9">
        <f t="shared" si="0"/>
        <v>-6474.8000000000011</v>
      </c>
      <c r="Q11" s="9">
        <f t="shared" si="0"/>
        <v>-6850.5</v>
      </c>
    </row>
    <row r="12" spans="1:17" x14ac:dyDescent="0.35"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x14ac:dyDescent="0.35"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x14ac:dyDescent="0.35">
      <c r="A14" s="1" t="s">
        <v>16</v>
      </c>
      <c r="B14" s="2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</row>
    <row r="15" spans="1:17" x14ac:dyDescent="0.35">
      <c r="A15" t="s">
        <v>17</v>
      </c>
      <c r="C15" s="7">
        <f>(1+0.06)^-1</f>
        <v>0.94339622641509424</v>
      </c>
      <c r="D15" s="7">
        <f>(1+0.06)^-2</f>
        <v>0.88999644001423983</v>
      </c>
      <c r="E15" s="7">
        <f>(1+0.06)^-3</f>
        <v>0.8396192830323016</v>
      </c>
      <c r="F15" s="7">
        <f>(1+0.06)^-4</f>
        <v>0.79209366323802044</v>
      </c>
      <c r="G15" s="7">
        <f>(1+0.06)^-5</f>
        <v>0.74725817286605689</v>
      </c>
      <c r="H15" s="7">
        <f>(1+0.06)^-6</f>
        <v>0.70496054043967626</v>
      </c>
      <c r="I15" s="7">
        <f>(1+0.06)^-7</f>
        <v>0.66505711362233599</v>
      </c>
      <c r="J15" s="7">
        <f>(1+0.06)^-8</f>
        <v>0.62741237134182648</v>
      </c>
      <c r="K15" s="7">
        <f>(1+0.06)^-9</f>
        <v>0.59189846353002495</v>
      </c>
      <c r="L15" s="7">
        <f>(1+0.06)^-10</f>
        <v>0.55839477691511785</v>
      </c>
      <c r="M15" s="7">
        <f t="shared" ref="M15" si="1">(1+0.06)^-11</f>
        <v>0.52678752539162055</v>
      </c>
      <c r="N15" s="7">
        <f t="shared" ref="N15" si="2">(1+0.06)^-12</f>
        <v>0.4969693635770005</v>
      </c>
      <c r="O15" s="7">
        <f t="shared" ref="O15" si="3">(1+0.06)^-13</f>
        <v>0.46883902224245327</v>
      </c>
      <c r="P15" s="7">
        <f t="shared" ref="P15" si="4">(1+0.06)^-14</f>
        <v>0.44230096437967292</v>
      </c>
      <c r="Q15" s="7">
        <f t="shared" ref="Q15" si="5">(1+0.06)^-15</f>
        <v>0.41726506073554037</v>
      </c>
    </row>
    <row r="16" spans="1:17" x14ac:dyDescent="0.35">
      <c r="A16" t="s">
        <v>18</v>
      </c>
      <c r="B16" s="6">
        <v>892500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x14ac:dyDescent="0.35">
      <c r="A17" t="s">
        <v>19</v>
      </c>
      <c r="C17" s="9">
        <f t="shared" ref="C17:Q17" si="6">C11*C15</f>
        <v>-1500.6603773584911</v>
      </c>
      <c r="D17" s="9">
        <f t="shared" si="6"/>
        <v>-1750.0889996440026</v>
      </c>
      <c r="E17" s="9">
        <f t="shared" si="6"/>
        <v>-1966.4723227899553</v>
      </c>
      <c r="F17" s="9">
        <f t="shared" si="6"/>
        <v>-2152.7521579482914</v>
      </c>
      <c r="G17" s="9">
        <f t="shared" si="6"/>
        <v>-2311.643157761147</v>
      </c>
      <c r="H17" s="9">
        <f t="shared" si="6"/>
        <v>-2445.6491068933256</v>
      </c>
      <c r="I17" s="9">
        <f t="shared" si="6"/>
        <v>-2557.0780961665196</v>
      </c>
      <c r="J17" s="9">
        <f t="shared" si="6"/>
        <v>-2648.0566544853132</v>
      </c>
      <c r="K17" s="9">
        <f t="shared" si="6"/>
        <v>-2720.5429079230535</v>
      </c>
      <c r="L17" s="9">
        <f t="shared" si="6"/>
        <v>-2776.338830821966</v>
      </c>
      <c r="M17" s="9">
        <f t="shared" si="6"/>
        <v>-2817.1016495367685</v>
      </c>
      <c r="N17" s="9">
        <f t="shared" si="6"/>
        <v>-2844.3544554966043</v>
      </c>
      <c r="O17" s="9">
        <f t="shared" si="6"/>
        <v>-2859.4960805589471</v>
      </c>
      <c r="P17" s="9">
        <f t="shared" si="6"/>
        <v>-2863.8102841655068</v>
      </c>
      <c r="Q17" s="9">
        <f t="shared" si="6"/>
        <v>-2858.4742985688194</v>
      </c>
    </row>
    <row r="18" spans="1:17" x14ac:dyDescent="0.35">
      <c r="A18" t="s">
        <v>20</v>
      </c>
      <c r="B18" s="9">
        <f>SUM(C17:Q17)</f>
        <v>-37072.519380118712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x14ac:dyDescent="0.35"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x14ac:dyDescent="0.35"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x14ac:dyDescent="0.35">
      <c r="A21" s="1" t="s">
        <v>22</v>
      </c>
      <c r="B21" s="2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</row>
    <row r="22" spans="1:17" x14ac:dyDescent="0.35">
      <c r="A22" t="s">
        <v>21</v>
      </c>
      <c r="B22" s="9">
        <f>B18</f>
        <v>-37072.519380118712</v>
      </c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x14ac:dyDescent="0.35">
      <c r="A23" s="2" t="s">
        <v>18</v>
      </c>
      <c r="B23" s="2">
        <f>B7</f>
        <v>892500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x14ac:dyDescent="0.35">
      <c r="A24" s="3" t="s">
        <v>24</v>
      </c>
      <c r="B24" s="10">
        <f>ROUND(B22-B23, -3)</f>
        <v>-930000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C8883-9D6E-49DD-823D-56B369D520CF}">
  <sheetPr>
    <tabColor theme="8"/>
  </sheetPr>
  <dimension ref="A1:Q24"/>
  <sheetViews>
    <sheetView topLeftCell="B1" zoomScale="90" zoomScaleNormal="90" workbookViewId="0">
      <selection activeCell="B25" sqref="B25"/>
    </sheetView>
  </sheetViews>
  <sheetFormatPr defaultRowHeight="14.5" x14ac:dyDescent="0.35"/>
  <cols>
    <col min="1" max="1" width="28.453125" bestFit="1" customWidth="1"/>
    <col min="2" max="9" width="9.7265625" customWidth="1"/>
    <col min="10" max="10" width="10.54296875" customWidth="1"/>
  </cols>
  <sheetData>
    <row r="1" spans="1:17" x14ac:dyDescent="0.35">
      <c r="A1" t="s">
        <v>0</v>
      </c>
      <c r="B1" t="s">
        <v>23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30</v>
      </c>
      <c r="N1" t="s">
        <v>31</v>
      </c>
      <c r="O1" t="s">
        <v>32</v>
      </c>
      <c r="P1" t="s">
        <v>33</v>
      </c>
      <c r="Q1" t="s">
        <v>34</v>
      </c>
    </row>
    <row r="2" spans="1:17" x14ac:dyDescent="0.35">
      <c r="A2" t="s">
        <v>2</v>
      </c>
      <c r="B2" s="4" t="s">
        <v>28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x14ac:dyDescent="0.35">
      <c r="A3" s="2" t="s">
        <v>1</v>
      </c>
      <c r="B3" s="5" t="s">
        <v>29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x14ac:dyDescent="0.35"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x14ac:dyDescent="0.35"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spans="1:17" x14ac:dyDescent="0.35">
      <c r="A6" s="1" t="s">
        <v>3</v>
      </c>
      <c r="B6" s="2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x14ac:dyDescent="0.35">
      <c r="A7" t="s">
        <v>14</v>
      </c>
      <c r="B7" s="6">
        <v>892500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 x14ac:dyDescent="0.35">
      <c r="A8" t="s">
        <v>25</v>
      </c>
      <c r="C8" s="9">
        <v>28620</v>
      </c>
      <c r="D8" s="9">
        <f>Tabell2589[[#This Row],[År 1]]*1.02</f>
        <v>29192.400000000001</v>
      </c>
      <c r="E8" s="9">
        <f>Tabell2589[[#This Row],[År 2]]*1.02</f>
        <v>29776.248000000003</v>
      </c>
      <c r="F8" s="9">
        <f>Tabell2589[[#This Row],[År 3]]*1.02</f>
        <v>30371.772960000002</v>
      </c>
      <c r="G8" s="9">
        <f>Tabell2589[[#This Row],[År 4]]*1.02</f>
        <v>30979.208419200004</v>
      </c>
      <c r="H8" s="9">
        <f>Tabell2589[[#This Row],[År 5]]*1.02</f>
        <v>31598.792587584005</v>
      </c>
      <c r="I8" s="9">
        <f>Tabell2589[[#This Row],[År 6]]*1.02</f>
        <v>32230.768439335687</v>
      </c>
      <c r="J8" s="9">
        <f>Tabell2589[[#This Row],[År 7]]*1.02</f>
        <v>32875.383808122402</v>
      </c>
      <c r="K8" s="9">
        <f>Tabell2589[[#This Row],[År 8]]*1.02</f>
        <v>33532.891484284854</v>
      </c>
      <c r="L8" s="9">
        <f>Tabell2589[[#This Row],[År 9]]*1.02</f>
        <v>34203.54931397055</v>
      </c>
      <c r="M8" s="9">
        <f>Tabell2589[[#This Row],[År 10]]*1.02</f>
        <v>34887.620300249961</v>
      </c>
      <c r="N8" s="9">
        <f>Tabell2589[[#This Row],[År 11]]*1.02</f>
        <v>35585.372706254959</v>
      </c>
      <c r="O8" s="9">
        <f>Tabell2589[[#This Row],[År 12]]*1.02</f>
        <v>36297.080160380057</v>
      </c>
      <c r="P8" s="9">
        <f>Tabell2589[[#This Row],[År 13]]*1.02</f>
        <v>37023.021763587662</v>
      </c>
      <c r="Q8" s="9">
        <f>Tabell2589[[#This Row],[År 14]]*1.02</f>
        <v>37763.482198859412</v>
      </c>
    </row>
    <row r="9" spans="1:17" x14ac:dyDescent="0.35">
      <c r="A9" t="s">
        <v>39</v>
      </c>
      <c r="C9" s="7">
        <v>0.02</v>
      </c>
      <c r="D9" s="7">
        <f>Tabell2589[[#This Row],[År 1]]+0.02</f>
        <v>0.04</v>
      </c>
      <c r="E9" s="7">
        <f>Tabell2589[[#This Row],[År 2]]+0.02</f>
        <v>0.06</v>
      </c>
      <c r="F9" s="7">
        <f>Tabell2589[[#This Row],[År 3]]+0.02</f>
        <v>0.08</v>
      </c>
      <c r="G9" s="7">
        <f>Tabell2589[[#This Row],[År 4]]+0.02</f>
        <v>0.1</v>
      </c>
      <c r="H9" s="7">
        <f>Tabell2589[[#This Row],[År 5]]+0.02</f>
        <v>0.12000000000000001</v>
      </c>
      <c r="I9" s="7">
        <f>Tabell2589[[#This Row],[År 6]]+0.02</f>
        <v>0.14000000000000001</v>
      </c>
      <c r="J9" s="7">
        <f>Tabell2589[[#This Row],[År 7]]+0.02</f>
        <v>0.16</v>
      </c>
      <c r="K9" s="7">
        <f>Tabell2589[[#This Row],[År 8]]+0.02</f>
        <v>0.18</v>
      </c>
      <c r="L9" s="7">
        <f>Tabell2589[[#This Row],[År 9]]+0.02</f>
        <v>0.19999999999999998</v>
      </c>
      <c r="M9" s="7">
        <f>Tabell2589[[#This Row],[År 10]]+0.02</f>
        <v>0.21999999999999997</v>
      </c>
      <c r="N9" s="7">
        <f>Tabell2589[[#This Row],[År 11]]+0.02</f>
        <v>0.23999999999999996</v>
      </c>
      <c r="O9" s="7">
        <f>Tabell2589[[#This Row],[År 12]]+0.02</f>
        <v>0.25999999999999995</v>
      </c>
      <c r="P9" s="7">
        <f>Tabell2589[[#This Row],[År 13]]+0.02</f>
        <v>0.27999999999999997</v>
      </c>
      <c r="Q9" s="7">
        <f>Tabell2589[[#This Row],[År 14]]+0.02</f>
        <v>0.3</v>
      </c>
    </row>
    <row r="10" spans="1:17" x14ac:dyDescent="0.35">
      <c r="A10" t="s">
        <v>26</v>
      </c>
      <c r="C10" s="9">
        <v>20000</v>
      </c>
      <c r="D10" s="9">
        <v>20000</v>
      </c>
      <c r="E10" s="9">
        <v>20000</v>
      </c>
      <c r="F10" s="9">
        <v>20000</v>
      </c>
      <c r="G10" s="9">
        <v>20000</v>
      </c>
      <c r="H10" s="9">
        <v>20000</v>
      </c>
      <c r="I10" s="9">
        <v>20000</v>
      </c>
      <c r="J10" s="9">
        <v>20000</v>
      </c>
      <c r="K10" s="9">
        <v>20000</v>
      </c>
      <c r="L10" s="9">
        <v>20000</v>
      </c>
      <c r="M10" s="9">
        <v>20000</v>
      </c>
      <c r="N10" s="9">
        <v>20000</v>
      </c>
      <c r="O10" s="9">
        <v>20000</v>
      </c>
      <c r="P10" s="9">
        <v>20000</v>
      </c>
      <c r="Q10" s="9">
        <v>20000</v>
      </c>
    </row>
    <row r="11" spans="1:17" x14ac:dyDescent="0.35">
      <c r="A11" t="s">
        <v>15</v>
      </c>
      <c r="C11" s="9">
        <f>C8*(1-C9)-C10</f>
        <v>8047.5999999999985</v>
      </c>
      <c r="D11" s="9">
        <f t="shared" ref="D11:Q11" si="0">D8*(1-D9)-D10</f>
        <v>8024.7040000000015</v>
      </c>
      <c r="E11" s="9">
        <f t="shared" si="0"/>
        <v>7989.6731200000031</v>
      </c>
      <c r="F11" s="9">
        <f t="shared" si="0"/>
        <v>7942.0311232000022</v>
      </c>
      <c r="G11" s="9">
        <f t="shared" si="0"/>
        <v>7881.2875772800035</v>
      </c>
      <c r="H11" s="9">
        <f t="shared" si="0"/>
        <v>7806.9374770739232</v>
      </c>
      <c r="I11" s="9">
        <f t="shared" si="0"/>
        <v>7718.4608578286898</v>
      </c>
      <c r="J11" s="9">
        <f t="shared" si="0"/>
        <v>7615.3223988228165</v>
      </c>
      <c r="K11" s="9">
        <f t="shared" si="0"/>
        <v>7496.9710171135812</v>
      </c>
      <c r="L11" s="9">
        <f t="shared" si="0"/>
        <v>7362.8394511764418</v>
      </c>
      <c r="M11" s="9">
        <f t="shared" si="0"/>
        <v>7212.3438341949695</v>
      </c>
      <c r="N11" s="9">
        <f t="shared" si="0"/>
        <v>7044.8832567537684</v>
      </c>
      <c r="O11" s="9">
        <f t="shared" si="0"/>
        <v>6859.8393186812427</v>
      </c>
      <c r="P11" s="9">
        <f t="shared" si="0"/>
        <v>6656.5756697831166</v>
      </c>
      <c r="Q11" s="9">
        <f t="shared" si="0"/>
        <v>6434.4375392015863</v>
      </c>
    </row>
    <row r="12" spans="1:17" x14ac:dyDescent="0.35"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x14ac:dyDescent="0.35"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x14ac:dyDescent="0.35">
      <c r="A14" s="1" t="s">
        <v>16</v>
      </c>
      <c r="B14" s="2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</row>
    <row r="15" spans="1:17" x14ac:dyDescent="0.35">
      <c r="A15" t="s">
        <v>17</v>
      </c>
      <c r="C15" s="7">
        <f>(1+0.06)^-1</f>
        <v>0.94339622641509424</v>
      </c>
      <c r="D15" s="7">
        <f>(1+0.06)^-2</f>
        <v>0.88999644001423983</v>
      </c>
      <c r="E15" s="7">
        <f>(1+0.06)^-3</f>
        <v>0.8396192830323016</v>
      </c>
      <c r="F15" s="7">
        <f>(1+0.06)^-4</f>
        <v>0.79209366323802044</v>
      </c>
      <c r="G15" s="7">
        <f>(1+0.06)^-5</f>
        <v>0.74725817286605689</v>
      </c>
      <c r="H15" s="7">
        <f>(1+0.06)^-6</f>
        <v>0.70496054043967626</v>
      </c>
      <c r="I15" s="7">
        <f>(1+0.06)^-7</f>
        <v>0.66505711362233599</v>
      </c>
      <c r="J15" s="7">
        <f>(1+0.06)^-8</f>
        <v>0.62741237134182648</v>
      </c>
      <c r="K15" s="7">
        <f>(1+0.06)^-9</f>
        <v>0.59189846353002495</v>
      </c>
      <c r="L15" s="7">
        <f>(1+0.06)^-10</f>
        <v>0.55839477691511785</v>
      </c>
      <c r="M15" s="7">
        <f t="shared" ref="M15" si="1">(1+0.06)^-11</f>
        <v>0.52678752539162055</v>
      </c>
      <c r="N15" s="7">
        <f t="shared" ref="N15" si="2">(1+0.06)^-12</f>
        <v>0.4969693635770005</v>
      </c>
      <c r="O15" s="7">
        <f t="shared" ref="O15" si="3">(1+0.06)^-13</f>
        <v>0.46883902224245327</v>
      </c>
      <c r="P15" s="7">
        <f t="shared" ref="P15" si="4">(1+0.06)^-14</f>
        <v>0.44230096437967292</v>
      </c>
      <c r="Q15" s="7">
        <f t="shared" ref="Q15" si="5">(1+0.06)^-15</f>
        <v>0.41726506073554037</v>
      </c>
    </row>
    <row r="16" spans="1:17" x14ac:dyDescent="0.35">
      <c r="A16" t="s">
        <v>18</v>
      </c>
      <c r="B16" s="6">
        <v>892500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x14ac:dyDescent="0.35">
      <c r="A17" t="s">
        <v>19</v>
      </c>
      <c r="C17" s="9">
        <f t="shared" ref="C17:Q17" si="6">C11*C15</f>
        <v>7592.075471698111</v>
      </c>
      <c r="D17" s="9">
        <f t="shared" si="6"/>
        <v>7141.9579921680315</v>
      </c>
      <c r="E17" s="9">
        <f t="shared" si="6"/>
        <v>6708.2836166768548</v>
      </c>
      <c r="F17" s="9">
        <f t="shared" si="6"/>
        <v>6290.83252592586</v>
      </c>
      <c r="G17" s="9">
        <f t="shared" si="6"/>
        <v>5889.3565548302076</v>
      </c>
      <c r="H17" s="9">
        <f t="shared" si="6"/>
        <v>5503.5828630167953</v>
      </c>
      <c r="I17" s="9">
        <f t="shared" si="6"/>
        <v>5133.2172997145281</v>
      </c>
      <c r="J17" s="9">
        <f t="shared" si="6"/>
        <v>4777.9474847779502</v>
      </c>
      <c r="K17" s="9">
        <f t="shared" si="6"/>
        <v>4437.4456261586574</v>
      </c>
      <c r="L17" s="9">
        <f t="shared" si="6"/>
        <v>4111.371092801498</v>
      </c>
      <c r="M17" s="9">
        <f t="shared" si="6"/>
        <v>3799.3727606890802</v>
      </c>
      <c r="N17" s="9">
        <f t="shared" si="6"/>
        <v>3501.0911485831871</v>
      </c>
      <c r="O17" s="9">
        <f t="shared" si="6"/>
        <v>3216.1603589108508</v>
      </c>
      <c r="P17" s="9">
        <f t="shared" si="6"/>
        <v>2944.2098382113395</v>
      </c>
      <c r="Q17" s="9">
        <f t="shared" si="6"/>
        <v>2684.8659705939908</v>
      </c>
    </row>
    <row r="18" spans="1:17" x14ac:dyDescent="0.35">
      <c r="A18" t="s">
        <v>20</v>
      </c>
      <c r="B18" s="9">
        <f>SUM(C17:Q17)</f>
        <v>73731.770604756952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x14ac:dyDescent="0.35"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x14ac:dyDescent="0.35"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x14ac:dyDescent="0.35">
      <c r="A21" s="1" t="s">
        <v>22</v>
      </c>
      <c r="B21" s="2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</row>
    <row r="22" spans="1:17" x14ac:dyDescent="0.35">
      <c r="A22" t="s">
        <v>21</v>
      </c>
      <c r="B22" s="9">
        <f>B18</f>
        <v>73731.770604756952</v>
      </c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x14ac:dyDescent="0.35">
      <c r="A23" s="2" t="s">
        <v>18</v>
      </c>
      <c r="B23" s="2">
        <f>B7</f>
        <v>892500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x14ac:dyDescent="0.35">
      <c r="A24" s="3" t="s">
        <v>24</v>
      </c>
      <c r="B24" s="10">
        <f>ROUND(B22-B23, -3)</f>
        <v>-819000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</sheetData>
  <phoneticPr fontId="2" type="noConversion"/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696FE7-B5F0-4CD3-AAAE-C9DF593F6D92}">
  <sheetPr>
    <tabColor theme="1"/>
  </sheetPr>
  <dimension ref="A1:Q26"/>
  <sheetViews>
    <sheetView topLeftCell="A4" zoomScale="90" zoomScaleNormal="90" workbookViewId="0">
      <selection activeCell="B27" sqref="B27"/>
    </sheetView>
  </sheetViews>
  <sheetFormatPr defaultRowHeight="14.5" x14ac:dyDescent="0.35"/>
  <cols>
    <col min="1" max="1" width="28.453125" bestFit="1" customWidth="1"/>
    <col min="2" max="9" width="9.7265625" customWidth="1"/>
    <col min="10" max="10" width="10.54296875" customWidth="1"/>
  </cols>
  <sheetData>
    <row r="1" spans="1:17" x14ac:dyDescent="0.35">
      <c r="A1" t="s">
        <v>0</v>
      </c>
      <c r="B1" t="s">
        <v>23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30</v>
      </c>
      <c r="N1" t="s">
        <v>31</v>
      </c>
      <c r="O1" t="s">
        <v>32</v>
      </c>
      <c r="P1" t="s">
        <v>33</v>
      </c>
      <c r="Q1" t="s">
        <v>34</v>
      </c>
    </row>
    <row r="2" spans="1:17" x14ac:dyDescent="0.35">
      <c r="A2" t="s">
        <v>2</v>
      </c>
      <c r="B2" s="4" t="s">
        <v>28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x14ac:dyDescent="0.35">
      <c r="A3" s="2" t="s">
        <v>1</v>
      </c>
      <c r="B3" s="5" t="s">
        <v>29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x14ac:dyDescent="0.35"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x14ac:dyDescent="0.35"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spans="1:17" x14ac:dyDescent="0.35">
      <c r="A6" s="1" t="s">
        <v>3</v>
      </c>
      <c r="B6" s="2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x14ac:dyDescent="0.35">
      <c r="A7" t="s">
        <v>14</v>
      </c>
      <c r="B7" s="6">
        <v>892500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 x14ac:dyDescent="0.35">
      <c r="A8" t="s">
        <v>35</v>
      </c>
      <c r="B8" s="6"/>
      <c r="C8" s="9">
        <v>59751</v>
      </c>
      <c r="D8" s="9">
        <v>59751</v>
      </c>
      <c r="E8" s="9">
        <v>59751</v>
      </c>
      <c r="F8" s="9">
        <v>59751</v>
      </c>
      <c r="G8" s="9">
        <v>59751</v>
      </c>
      <c r="H8" s="9">
        <v>59751</v>
      </c>
      <c r="I8" s="9">
        <v>59751</v>
      </c>
      <c r="J8" s="9">
        <v>59751</v>
      </c>
      <c r="K8" s="9">
        <v>59751</v>
      </c>
      <c r="L8" s="9">
        <v>59751</v>
      </c>
      <c r="M8" s="9">
        <v>59751</v>
      </c>
      <c r="N8" s="9">
        <v>59751</v>
      </c>
      <c r="O8" s="9">
        <v>59751</v>
      </c>
      <c r="P8" s="9">
        <v>59751</v>
      </c>
      <c r="Q8" s="9">
        <v>59751</v>
      </c>
    </row>
    <row r="9" spans="1:17" x14ac:dyDescent="0.35">
      <c r="A9" t="s">
        <v>36</v>
      </c>
      <c r="B9" s="6"/>
      <c r="C9" s="9">
        <f>58000*1.09*0.95</f>
        <v>60059.000000000007</v>
      </c>
      <c r="D9" s="9">
        <f>Tabell258910[[#This Row],[År 1]]*1.01</f>
        <v>60659.590000000011</v>
      </c>
      <c r="E9" s="9">
        <f>Tabell258910[[#This Row],[År 2]]*1.01</f>
        <v>61266.185900000011</v>
      </c>
      <c r="F9" s="9">
        <f>Tabell258910[[#This Row],[År 3]]*1.01</f>
        <v>61878.847759000011</v>
      </c>
      <c r="G9" s="9">
        <f>Tabell258910[[#This Row],[År 4]]*1.01</f>
        <v>62497.636236590013</v>
      </c>
      <c r="H9" s="9">
        <f>Tabell258910[[#This Row],[År 5]]*1.01</f>
        <v>63122.612598955915</v>
      </c>
      <c r="I9" s="9">
        <f>Tabell258910[[#This Row],[År 6]]*1.01</f>
        <v>63753.838724945475</v>
      </c>
      <c r="J9" s="9">
        <f>Tabell258910[[#This Row],[År 7]]*1.01</f>
        <v>64391.377112194932</v>
      </c>
      <c r="K9" s="9">
        <f>Tabell258910[[#This Row],[År 8]]*1.01</f>
        <v>65035.290883316884</v>
      </c>
      <c r="L9" s="9">
        <f>Tabell258910[[#This Row],[År 9]]*1.01</f>
        <v>65685.643792150047</v>
      </c>
      <c r="M9" s="9">
        <f>Tabell258910[[#This Row],[År 10]]*1.01</f>
        <v>66342.500230071542</v>
      </c>
      <c r="N9" s="9">
        <f>Tabell258910[[#This Row],[År 11]]*1.01</f>
        <v>67005.925232372261</v>
      </c>
      <c r="O9" s="9">
        <f>Tabell258910[[#This Row],[År 12]]*1.01</f>
        <v>67675.98448469599</v>
      </c>
      <c r="P9" s="9">
        <f>Tabell258910[[#This Row],[År 13]]*1.01</f>
        <v>68352.744329542955</v>
      </c>
      <c r="Q9" s="9">
        <f>Tabell258910[[#This Row],[År 14]]*1.01</f>
        <v>69036.271772838387</v>
      </c>
    </row>
    <row r="10" spans="1:17" x14ac:dyDescent="0.35">
      <c r="A10" t="s">
        <v>37</v>
      </c>
      <c r="C10" s="9">
        <f>27189</f>
        <v>27189</v>
      </c>
      <c r="D10" s="9">
        <f>C10*1.02</f>
        <v>27732.78</v>
      </c>
      <c r="E10" s="9">
        <f t="shared" ref="E10:Q10" si="0">D10*1.02</f>
        <v>28287.435600000001</v>
      </c>
      <c r="F10" s="9">
        <f t="shared" si="0"/>
        <v>28853.184312000001</v>
      </c>
      <c r="G10" s="9">
        <f t="shared" si="0"/>
        <v>29430.24799824</v>
      </c>
      <c r="H10" s="9">
        <f t="shared" si="0"/>
        <v>30018.8529582048</v>
      </c>
      <c r="I10" s="9">
        <f t="shared" si="0"/>
        <v>30619.230017368896</v>
      </c>
      <c r="J10" s="9">
        <f t="shared" si="0"/>
        <v>31231.614617716274</v>
      </c>
      <c r="K10" s="9">
        <f t="shared" si="0"/>
        <v>31856.2469100706</v>
      </c>
      <c r="L10" s="9">
        <f t="shared" si="0"/>
        <v>32493.371848272014</v>
      </c>
      <c r="M10" s="9">
        <f t="shared" si="0"/>
        <v>33143.239285237454</v>
      </c>
      <c r="N10" s="9">
        <f t="shared" si="0"/>
        <v>33806.104070942201</v>
      </c>
      <c r="O10" s="9">
        <f t="shared" si="0"/>
        <v>34482.226152361043</v>
      </c>
      <c r="P10" s="9">
        <f t="shared" si="0"/>
        <v>35171.870675408267</v>
      </c>
      <c r="Q10" s="9">
        <f t="shared" si="0"/>
        <v>35875.308088916434</v>
      </c>
    </row>
    <row r="11" spans="1:17" x14ac:dyDescent="0.35">
      <c r="A11" t="s">
        <v>39</v>
      </c>
      <c r="C11" s="7">
        <v>0.02</v>
      </c>
      <c r="D11" s="7">
        <f>Tabell258910[[#This Row],[År 1]]+0.02</f>
        <v>0.04</v>
      </c>
      <c r="E11" s="7">
        <f>Tabell258910[[#This Row],[År 2]]+0.02</f>
        <v>0.06</v>
      </c>
      <c r="F11" s="7">
        <f>Tabell258910[[#This Row],[År 3]]+0.02</f>
        <v>0.08</v>
      </c>
      <c r="G11" s="7">
        <f>Tabell258910[[#This Row],[År 4]]+0.02</f>
        <v>0.1</v>
      </c>
      <c r="H11" s="7">
        <f>Tabell258910[[#This Row],[År 5]]+0.02</f>
        <v>0.12000000000000001</v>
      </c>
      <c r="I11" s="7">
        <f>Tabell258910[[#This Row],[År 6]]+0.02</f>
        <v>0.14000000000000001</v>
      </c>
      <c r="J11" s="7">
        <f>Tabell258910[[#This Row],[År 7]]+0.02</f>
        <v>0.16</v>
      </c>
      <c r="K11" s="7">
        <f>Tabell258910[[#This Row],[År 8]]+0.02</f>
        <v>0.18</v>
      </c>
      <c r="L11" s="7">
        <f>Tabell258910[[#This Row],[År 9]]+0.02</f>
        <v>0.19999999999999998</v>
      </c>
      <c r="M11" s="7">
        <f>Tabell258910[[#This Row],[År 10]]+0.02</f>
        <v>0.21999999999999997</v>
      </c>
      <c r="N11" s="7">
        <f>Tabell258910[[#This Row],[År 11]]+0.02</f>
        <v>0.23999999999999996</v>
      </c>
      <c r="O11" s="7">
        <f>Tabell258910[[#This Row],[År 12]]+0.02</f>
        <v>0.25999999999999995</v>
      </c>
      <c r="P11" s="7">
        <f>Tabell258910[[#This Row],[År 13]]+0.02</f>
        <v>0.27999999999999997</v>
      </c>
      <c r="Q11" s="7">
        <f>Tabell258910[[#This Row],[År 14]]+0.02</f>
        <v>0.3</v>
      </c>
    </row>
    <row r="12" spans="1:17" x14ac:dyDescent="0.35">
      <c r="A12" t="s">
        <v>26</v>
      </c>
      <c r="C12" s="9">
        <v>20000</v>
      </c>
      <c r="D12" s="9">
        <v>20000</v>
      </c>
      <c r="E12" s="9">
        <v>20000</v>
      </c>
      <c r="F12" s="9">
        <v>20000</v>
      </c>
      <c r="G12" s="9">
        <v>20000</v>
      </c>
      <c r="H12" s="9">
        <v>20000</v>
      </c>
      <c r="I12" s="9">
        <v>20000</v>
      </c>
      <c r="J12" s="9">
        <v>20000</v>
      </c>
      <c r="K12" s="9">
        <v>20000</v>
      </c>
      <c r="L12" s="9">
        <v>20000</v>
      </c>
      <c r="M12" s="9">
        <v>20000</v>
      </c>
      <c r="N12" s="9">
        <v>20000</v>
      </c>
      <c r="O12" s="9">
        <v>20000</v>
      </c>
      <c r="P12" s="9">
        <v>20000</v>
      </c>
      <c r="Q12" s="9">
        <v>20000</v>
      </c>
    </row>
    <row r="13" spans="1:17" x14ac:dyDescent="0.35">
      <c r="A13" t="s">
        <v>15</v>
      </c>
      <c r="C13" s="9">
        <f>(C10+C9+C8)*(1-C11)-C12</f>
        <v>124059.01999999999</v>
      </c>
      <c r="D13" s="9">
        <f t="shared" ref="D13:Q13" si="1">(D10+D9+D8)*(1-D11)-D12</f>
        <v>122217.63519999999</v>
      </c>
      <c r="E13" s="9">
        <f t="shared" si="1"/>
        <v>120346.34421000001</v>
      </c>
      <c r="F13" s="9">
        <f t="shared" si="1"/>
        <v>118444.38950532002</v>
      </c>
      <c r="G13" s="9">
        <f t="shared" si="1"/>
        <v>116510.99581134701</v>
      </c>
      <c r="H13" s="9">
        <f t="shared" si="1"/>
        <v>114545.36969030145</v>
      </c>
      <c r="I13" s="9">
        <f t="shared" si="1"/>
        <v>112546.69911839033</v>
      </c>
      <c r="J13" s="9">
        <f t="shared" si="1"/>
        <v>110514.15305312541</v>
      </c>
      <c r="K13" s="9">
        <f t="shared" si="1"/>
        <v>108446.88099057775</v>
      </c>
      <c r="L13" s="9">
        <f t="shared" si="1"/>
        <v>106344.01251233765</v>
      </c>
      <c r="M13" s="9">
        <f t="shared" si="1"/>
        <v>104204.65682194101</v>
      </c>
      <c r="N13" s="9">
        <f t="shared" si="1"/>
        <v>102027.90227051899</v>
      </c>
      <c r="O13" s="9">
        <f t="shared" si="1"/>
        <v>99812.815871422194</v>
      </c>
      <c r="P13" s="9">
        <f t="shared" si="1"/>
        <v>97558.442803564874</v>
      </c>
      <c r="Q13" s="9">
        <f t="shared" si="1"/>
        <v>95263.805903228364</v>
      </c>
    </row>
    <row r="14" spans="1:17" x14ac:dyDescent="0.35"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spans="1:17" x14ac:dyDescent="0.35"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 x14ac:dyDescent="0.35">
      <c r="A16" s="1" t="s">
        <v>16</v>
      </c>
      <c r="B16" s="2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</row>
    <row r="17" spans="1:17" x14ac:dyDescent="0.35">
      <c r="A17" t="s">
        <v>17</v>
      </c>
      <c r="C17" s="7">
        <f>(1+0.06)^-1</f>
        <v>0.94339622641509424</v>
      </c>
      <c r="D17" s="7">
        <f>(1+0.06)^-2</f>
        <v>0.88999644001423983</v>
      </c>
      <c r="E17" s="7">
        <f>(1+0.06)^-3</f>
        <v>0.8396192830323016</v>
      </c>
      <c r="F17" s="7">
        <f>(1+0.06)^-4</f>
        <v>0.79209366323802044</v>
      </c>
      <c r="G17" s="7">
        <f>(1+0.06)^-5</f>
        <v>0.74725817286605689</v>
      </c>
      <c r="H17" s="7">
        <f>(1+0.06)^-6</f>
        <v>0.70496054043967626</v>
      </c>
      <c r="I17" s="7">
        <f>(1+0.06)^-7</f>
        <v>0.66505711362233599</v>
      </c>
      <c r="J17" s="7">
        <f>(1+0.06)^-8</f>
        <v>0.62741237134182648</v>
      </c>
      <c r="K17" s="7">
        <f>(1+0.06)^-9</f>
        <v>0.59189846353002495</v>
      </c>
      <c r="L17" s="7">
        <f>(1+0.06)^-10</f>
        <v>0.55839477691511785</v>
      </c>
      <c r="M17" s="7">
        <f t="shared" ref="M17" si="2">(1+0.06)^-11</f>
        <v>0.52678752539162055</v>
      </c>
      <c r="N17" s="7">
        <f t="shared" ref="N17" si="3">(1+0.06)^-12</f>
        <v>0.4969693635770005</v>
      </c>
      <c r="O17" s="7">
        <f t="shared" ref="O17" si="4">(1+0.06)^-13</f>
        <v>0.46883902224245327</v>
      </c>
      <c r="P17" s="7">
        <f t="shared" ref="P17" si="5">(1+0.06)^-14</f>
        <v>0.44230096437967292</v>
      </c>
      <c r="Q17" s="7">
        <f t="shared" ref="Q17" si="6">(1+0.06)^-15</f>
        <v>0.41726506073554037</v>
      </c>
    </row>
    <row r="18" spans="1:17" x14ac:dyDescent="0.35">
      <c r="A18" t="s">
        <v>18</v>
      </c>
      <c r="B18" s="6">
        <v>892500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x14ac:dyDescent="0.35">
      <c r="A19" t="s">
        <v>19</v>
      </c>
      <c r="C19" s="9">
        <f t="shared" ref="C19:Q19" si="7">C13*C17</f>
        <v>117036.8113207547</v>
      </c>
      <c r="D19" s="9">
        <f t="shared" si="7"/>
        <v>108773.26023495903</v>
      </c>
      <c r="E19" s="9">
        <f t="shared" si="7"/>
        <v>101045.1112411588</v>
      </c>
      <c r="F19" s="9">
        <f t="shared" si="7"/>
        <v>93819.050373259888</v>
      </c>
      <c r="G19" s="9">
        <f t="shared" si="7"/>
        <v>87063.793848791975</v>
      </c>
      <c r="H19" s="9">
        <f t="shared" si="7"/>
        <v>80749.965721737419</v>
      </c>
      <c r="I19" s="9">
        <f t="shared" si="7"/>
        <v>74849.982863398182</v>
      </c>
      <c r="J19" s="9">
        <f t="shared" si="7"/>
        <v>69337.946833894966</v>
      </c>
      <c r="K19" s="9">
        <f t="shared" si="7"/>
        <v>64189.542232946435</v>
      </c>
      <c r="L19" s="9">
        <f t="shared" si="7"/>
        <v>59381.941143085285</v>
      </c>
      <c r="M19" s="9">
        <f t="shared" si="7"/>
        <v>54893.713301513359</v>
      </c>
      <c r="N19" s="9">
        <f t="shared" si="7"/>
        <v>50704.741658476225</v>
      </c>
      <c r="O19" s="9">
        <f t="shared" si="7"/>
        <v>46796.143000423603</v>
      </c>
      <c r="P19" s="9">
        <f t="shared" si="7"/>
        <v>43150.193335395903</v>
      </c>
      <c r="Q19" s="9">
        <f t="shared" si="7"/>
        <v>39750.257756109313</v>
      </c>
    </row>
    <row r="20" spans="1:17" x14ac:dyDescent="0.35">
      <c r="A20" t="s">
        <v>20</v>
      </c>
      <c r="B20" s="9">
        <f>SUM(C19:Q19)</f>
        <v>1091542.454865905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x14ac:dyDescent="0.35"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</row>
    <row r="22" spans="1:17" x14ac:dyDescent="0.35"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x14ac:dyDescent="0.35">
      <c r="A23" s="1" t="s">
        <v>22</v>
      </c>
      <c r="B23" s="2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</row>
    <row r="24" spans="1:17" x14ac:dyDescent="0.35">
      <c r="A24" t="s">
        <v>21</v>
      </c>
      <c r="B24" s="9">
        <f>B20</f>
        <v>1091542.454865905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x14ac:dyDescent="0.35">
      <c r="A25" s="2" t="s">
        <v>18</v>
      </c>
      <c r="B25" s="2">
        <f>B7</f>
        <v>892500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  <row r="26" spans="1:17" x14ac:dyDescent="0.35">
      <c r="A26" s="3" t="s">
        <v>24</v>
      </c>
      <c r="B26" s="10">
        <f>ROUND(B25-B24, -3)</f>
        <v>-199000</v>
      </c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A26A6-B67E-4DF6-ACFE-5D48B0C24B88}">
  <sheetPr>
    <tabColor theme="6"/>
  </sheetPr>
  <dimension ref="A1:Q25"/>
  <sheetViews>
    <sheetView topLeftCell="A2" zoomScale="90" zoomScaleNormal="90" workbookViewId="0">
      <selection activeCell="B26" sqref="B26"/>
    </sheetView>
  </sheetViews>
  <sheetFormatPr defaultRowHeight="14.5" x14ac:dyDescent="0.35"/>
  <cols>
    <col min="1" max="1" width="28.453125" bestFit="1" customWidth="1"/>
    <col min="2" max="3" width="9.7265625" customWidth="1"/>
    <col min="4" max="4" width="11.6328125" bestFit="1" customWidth="1"/>
    <col min="5" max="9" width="9.7265625" customWidth="1"/>
    <col min="10" max="10" width="10.54296875" customWidth="1"/>
  </cols>
  <sheetData>
    <row r="1" spans="1:17" x14ac:dyDescent="0.35">
      <c r="A1" t="s">
        <v>0</v>
      </c>
      <c r="B1" t="s">
        <v>23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30</v>
      </c>
      <c r="N1" t="s">
        <v>31</v>
      </c>
      <c r="O1" t="s">
        <v>32</v>
      </c>
      <c r="P1" t="s">
        <v>33</v>
      </c>
      <c r="Q1" t="s">
        <v>34</v>
      </c>
    </row>
    <row r="2" spans="1:17" x14ac:dyDescent="0.35">
      <c r="A2" t="s">
        <v>2</v>
      </c>
      <c r="B2" s="4" t="s">
        <v>28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x14ac:dyDescent="0.35">
      <c r="A3" s="2" t="s">
        <v>1</v>
      </c>
      <c r="B3" s="5" t="s">
        <v>29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x14ac:dyDescent="0.35"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x14ac:dyDescent="0.35"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spans="1:17" x14ac:dyDescent="0.35">
      <c r="A6" s="1" t="s">
        <v>3</v>
      </c>
      <c r="B6" s="2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x14ac:dyDescent="0.35">
      <c r="A7" t="s">
        <v>14</v>
      </c>
      <c r="B7" s="6">
        <v>892500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 x14ac:dyDescent="0.35">
      <c r="A8" t="s">
        <v>38</v>
      </c>
      <c r="B8" s="6"/>
      <c r="C8" s="9">
        <v>109083</v>
      </c>
      <c r="D8" s="9">
        <v>109083</v>
      </c>
      <c r="E8" s="9">
        <v>109083</v>
      </c>
      <c r="F8" s="9">
        <v>109083</v>
      </c>
      <c r="G8" s="9">
        <v>109083</v>
      </c>
      <c r="H8" s="9">
        <v>109083</v>
      </c>
      <c r="I8" s="9">
        <v>109083</v>
      </c>
      <c r="J8" s="9">
        <v>109083</v>
      </c>
      <c r="K8" s="9">
        <v>109083</v>
      </c>
      <c r="L8" s="9">
        <v>109083</v>
      </c>
      <c r="M8" s="9">
        <v>109083</v>
      </c>
      <c r="N8" s="9">
        <v>109083</v>
      </c>
      <c r="O8" s="9">
        <v>109083</v>
      </c>
      <c r="P8" s="9">
        <v>109083</v>
      </c>
      <c r="Q8" s="9">
        <v>109083</v>
      </c>
    </row>
    <row r="9" spans="1:17" x14ac:dyDescent="0.35">
      <c r="A9" t="s">
        <v>37</v>
      </c>
      <c r="C9" s="9">
        <v>27189</v>
      </c>
      <c r="D9" s="9">
        <f>C9*1.02</f>
        <v>27732.78</v>
      </c>
      <c r="E9" s="9">
        <f t="shared" ref="E9:Q9" si="0">D9*1.02</f>
        <v>28287.435600000001</v>
      </c>
      <c r="F9" s="9">
        <f t="shared" si="0"/>
        <v>28853.184312000001</v>
      </c>
      <c r="G9" s="9">
        <f t="shared" si="0"/>
        <v>29430.24799824</v>
      </c>
      <c r="H9" s="9">
        <f t="shared" si="0"/>
        <v>30018.8529582048</v>
      </c>
      <c r="I9" s="9">
        <f t="shared" si="0"/>
        <v>30619.230017368896</v>
      </c>
      <c r="J9" s="9">
        <f t="shared" si="0"/>
        <v>31231.614617716274</v>
      </c>
      <c r="K9" s="9">
        <f t="shared" si="0"/>
        <v>31856.2469100706</v>
      </c>
      <c r="L9" s="9">
        <f t="shared" si="0"/>
        <v>32493.371848272014</v>
      </c>
      <c r="M9" s="9">
        <f t="shared" si="0"/>
        <v>33143.239285237454</v>
      </c>
      <c r="N9" s="9">
        <f t="shared" si="0"/>
        <v>33806.104070942201</v>
      </c>
      <c r="O9" s="9">
        <f t="shared" si="0"/>
        <v>34482.226152361043</v>
      </c>
      <c r="P9" s="9">
        <f t="shared" si="0"/>
        <v>35171.870675408267</v>
      </c>
      <c r="Q9" s="9">
        <f t="shared" si="0"/>
        <v>35875.308088916434</v>
      </c>
    </row>
    <row r="10" spans="1:17" x14ac:dyDescent="0.35">
      <c r="A10" t="s">
        <v>39</v>
      </c>
      <c r="C10" s="7">
        <v>0.02</v>
      </c>
      <c r="D10" s="7">
        <f>Tabell25891011[[#This Row],[År 1]]+0.02</f>
        <v>0.04</v>
      </c>
      <c r="E10" s="7">
        <f>Tabell25891011[[#This Row],[År 2]]+0.02</f>
        <v>0.06</v>
      </c>
      <c r="F10" s="7">
        <f>Tabell25891011[[#This Row],[År 3]]+0.02</f>
        <v>0.08</v>
      </c>
      <c r="G10" s="7">
        <f>Tabell25891011[[#This Row],[År 4]]+0.02</f>
        <v>0.1</v>
      </c>
      <c r="H10" s="7">
        <f>Tabell25891011[[#This Row],[År 5]]+0.02</f>
        <v>0.12000000000000001</v>
      </c>
      <c r="I10" s="7">
        <f>Tabell25891011[[#This Row],[År 6]]+0.02</f>
        <v>0.14000000000000001</v>
      </c>
      <c r="J10" s="7">
        <f>Tabell25891011[[#This Row],[År 7]]+0.02</f>
        <v>0.16</v>
      </c>
      <c r="K10" s="7">
        <f>Tabell25891011[[#This Row],[År 8]]+0.02</f>
        <v>0.18</v>
      </c>
      <c r="L10" s="7">
        <f>Tabell25891011[[#This Row],[År 9]]+0.02</f>
        <v>0.19999999999999998</v>
      </c>
      <c r="M10" s="7">
        <f>Tabell25891011[[#This Row],[År 10]]+0.02</f>
        <v>0.21999999999999997</v>
      </c>
      <c r="N10" s="7">
        <f>Tabell25891011[[#This Row],[År 11]]+0.02</f>
        <v>0.23999999999999996</v>
      </c>
      <c r="O10" s="7">
        <f>Tabell25891011[[#This Row],[År 12]]+0.02</f>
        <v>0.25999999999999995</v>
      </c>
      <c r="P10" s="7">
        <f>Tabell25891011[[#This Row],[År 13]]+0.02</f>
        <v>0.27999999999999997</v>
      </c>
      <c r="Q10" s="7">
        <f>Tabell25891011[[#This Row],[År 14]]+0.02</f>
        <v>0.3</v>
      </c>
    </row>
    <row r="11" spans="1:17" x14ac:dyDescent="0.35">
      <c r="A11" t="s">
        <v>26</v>
      </c>
      <c r="C11" s="9">
        <v>20000</v>
      </c>
      <c r="D11" s="9">
        <v>20000</v>
      </c>
      <c r="E11" s="9">
        <v>20000</v>
      </c>
      <c r="F11" s="9">
        <v>20000</v>
      </c>
      <c r="G11" s="9">
        <v>20000</v>
      </c>
      <c r="H11" s="9">
        <v>20000</v>
      </c>
      <c r="I11" s="9">
        <v>20000</v>
      </c>
      <c r="J11" s="9">
        <v>20000</v>
      </c>
      <c r="K11" s="9">
        <v>20000</v>
      </c>
      <c r="L11" s="9">
        <v>20000</v>
      </c>
      <c r="M11" s="9">
        <v>20000</v>
      </c>
      <c r="N11" s="9">
        <v>20000</v>
      </c>
      <c r="O11" s="9">
        <v>20000</v>
      </c>
      <c r="P11" s="9">
        <v>20000</v>
      </c>
      <c r="Q11" s="9">
        <v>20000</v>
      </c>
    </row>
    <row r="12" spans="1:17" x14ac:dyDescent="0.35">
      <c r="A12" t="s">
        <v>15</v>
      </c>
      <c r="C12" s="9">
        <f>(C9+C8)*(1-C10)-C11</f>
        <v>113546.56</v>
      </c>
      <c r="D12" s="9">
        <f t="shared" ref="D12:Q12" si="1">(D9+D8)*(1-D10)-D11</f>
        <v>111343.1488</v>
      </c>
      <c r="E12" s="9">
        <f t="shared" si="1"/>
        <v>109128.20946399999</v>
      </c>
      <c r="F12" s="9">
        <f t="shared" si="1"/>
        <v>106901.28956704</v>
      </c>
      <c r="G12" s="9">
        <f t="shared" si="1"/>
        <v>104661.923198416</v>
      </c>
      <c r="H12" s="9">
        <f t="shared" si="1"/>
        <v>102409.63060322023</v>
      </c>
      <c r="I12" s="9">
        <f t="shared" si="1"/>
        <v>100143.91781493725</v>
      </c>
      <c r="J12" s="9">
        <f t="shared" si="1"/>
        <v>97864.276278881676</v>
      </c>
      <c r="K12" s="9">
        <f t="shared" si="1"/>
        <v>95570.182466257902</v>
      </c>
      <c r="L12" s="9">
        <f t="shared" si="1"/>
        <v>93261.097478617623</v>
      </c>
      <c r="M12" s="9">
        <f t="shared" si="1"/>
        <v>90936.466642485218</v>
      </c>
      <c r="N12" s="9">
        <f t="shared" si="1"/>
        <v>88595.719093916079</v>
      </c>
      <c r="O12" s="9">
        <f t="shared" si="1"/>
        <v>86238.267352747178</v>
      </c>
      <c r="P12" s="9">
        <f t="shared" si="1"/>
        <v>83863.506886293952</v>
      </c>
      <c r="Q12" s="9">
        <f t="shared" si="1"/>
        <v>81470.815662241497</v>
      </c>
    </row>
    <row r="13" spans="1:17" x14ac:dyDescent="0.35"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x14ac:dyDescent="0.35"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spans="1:17" x14ac:dyDescent="0.35">
      <c r="A15" s="1" t="s">
        <v>16</v>
      </c>
      <c r="B15" s="2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</row>
    <row r="16" spans="1:17" x14ac:dyDescent="0.35">
      <c r="A16" t="s">
        <v>17</v>
      </c>
      <c r="C16" s="7">
        <f>(1+0.06)^-1</f>
        <v>0.94339622641509424</v>
      </c>
      <c r="D16" s="7">
        <f>(1+0.06)^-2</f>
        <v>0.88999644001423983</v>
      </c>
      <c r="E16" s="7">
        <f>(1+0.06)^-3</f>
        <v>0.8396192830323016</v>
      </c>
      <c r="F16" s="7">
        <f>(1+0.06)^-4</f>
        <v>0.79209366323802044</v>
      </c>
      <c r="G16" s="7">
        <f>(1+0.06)^-5</f>
        <v>0.74725817286605689</v>
      </c>
      <c r="H16" s="7">
        <f>(1+0.06)^-6</f>
        <v>0.70496054043967626</v>
      </c>
      <c r="I16" s="7">
        <f>(1+0.06)^-7</f>
        <v>0.66505711362233599</v>
      </c>
      <c r="J16" s="7">
        <f>(1+0.06)^-8</f>
        <v>0.62741237134182648</v>
      </c>
      <c r="K16" s="7">
        <f>(1+0.06)^-9</f>
        <v>0.59189846353002495</v>
      </c>
      <c r="L16" s="7">
        <f>(1+0.06)^-10</f>
        <v>0.55839477691511785</v>
      </c>
      <c r="M16" s="7">
        <f t="shared" ref="M16" si="2">(1+0.06)^-11</f>
        <v>0.52678752539162055</v>
      </c>
      <c r="N16" s="7">
        <f t="shared" ref="N16" si="3">(1+0.06)^-12</f>
        <v>0.4969693635770005</v>
      </c>
      <c r="O16" s="7">
        <f t="shared" ref="O16" si="4">(1+0.06)^-13</f>
        <v>0.46883902224245327</v>
      </c>
      <c r="P16" s="7">
        <f t="shared" ref="P16" si="5">(1+0.06)^-14</f>
        <v>0.44230096437967292</v>
      </c>
      <c r="Q16" s="7">
        <f t="shared" ref="Q16" si="6">(1+0.06)^-15</f>
        <v>0.41726506073554037</v>
      </c>
    </row>
    <row r="17" spans="1:17" x14ac:dyDescent="0.35">
      <c r="A17" t="s">
        <v>18</v>
      </c>
      <c r="B17" s="6">
        <v>892500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spans="1:17" x14ac:dyDescent="0.35">
      <c r="A18" t="s">
        <v>19</v>
      </c>
      <c r="C18" s="9">
        <f t="shared" ref="C18:Q18" si="7">C12*C16</f>
        <v>107119.39622641508</v>
      </c>
      <c r="D18" s="9">
        <f t="shared" si="7"/>
        <v>99095.006051975783</v>
      </c>
      <c r="E18" s="9">
        <f t="shared" si="7"/>
        <v>91626.148988762492</v>
      </c>
      <c r="F18" s="9">
        <f t="shared" si="7"/>
        <v>84675.834058025095</v>
      </c>
      <c r="G18" s="9">
        <f t="shared" si="7"/>
        <v>78209.477497895918</v>
      </c>
      <c r="H18" s="9">
        <f t="shared" si="7"/>
        <v>72194.748536273735</v>
      </c>
      <c r="I18" s="9">
        <f t="shared" si="7"/>
        <v>66601.424928834604</v>
      </c>
      <c r="J18" s="9">
        <f t="shared" si="7"/>
        <v>61401.257649784813</v>
      </c>
      <c r="K18" s="9">
        <f t="shared" si="7"/>
        <v>56567.844161062181</v>
      </c>
      <c r="L18" s="9">
        <f t="shared" si="7"/>
        <v>52076.50972143175</v>
      </c>
      <c r="M18" s="9">
        <f t="shared" si="7"/>
        <v>47904.196230452435</v>
      </c>
      <c r="N18" s="9">
        <f t="shared" si="7"/>
        <v>44029.358133750182</v>
      </c>
      <c r="O18" s="9">
        <f t="shared" si="7"/>
        <v>40431.864945545269</v>
      </c>
      <c r="P18" s="9">
        <f t="shared" si="7"/>
        <v>37092.909972069159</v>
      </c>
      <c r="Q18" s="9">
        <f t="shared" si="7"/>
        <v>33994.92484547921</v>
      </c>
    </row>
    <row r="19" spans="1:17" x14ac:dyDescent="0.35">
      <c r="A19" t="s">
        <v>20</v>
      </c>
      <c r="B19" s="9">
        <f>SUM(C18:Q18)</f>
        <v>973020.90194775758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x14ac:dyDescent="0.35"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x14ac:dyDescent="0.35"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</row>
    <row r="22" spans="1:17" x14ac:dyDescent="0.35">
      <c r="A22" s="1" t="s">
        <v>22</v>
      </c>
      <c r="B22" s="2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</row>
    <row r="23" spans="1:17" x14ac:dyDescent="0.35">
      <c r="A23" t="s">
        <v>21</v>
      </c>
      <c r="B23" s="9">
        <f>B19</f>
        <v>973020.90194775758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x14ac:dyDescent="0.35">
      <c r="A24" s="2" t="s">
        <v>18</v>
      </c>
      <c r="B24" s="2">
        <f>B7</f>
        <v>892500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x14ac:dyDescent="0.35">
      <c r="A25" s="3" t="s">
        <v>24</v>
      </c>
      <c r="B25" s="10">
        <f>ROUND(B24-B23, -3)</f>
        <v>-81000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4389DF-F40A-47DD-AF83-CE4648792999}">
  <dimension ref="A9:B19"/>
  <sheetViews>
    <sheetView tabSelected="1" workbookViewId="0">
      <selection activeCell="B20" sqref="B20"/>
    </sheetView>
  </sheetViews>
  <sheetFormatPr defaultRowHeight="14.5" x14ac:dyDescent="0.35"/>
  <cols>
    <col min="1" max="1" width="25.1796875" bestFit="1" customWidth="1"/>
    <col min="2" max="2" width="12.453125" bestFit="1" customWidth="1"/>
  </cols>
  <sheetData>
    <row r="9" spans="1:2" x14ac:dyDescent="0.35">
      <c r="A9" t="s">
        <v>40</v>
      </c>
      <c r="B9" t="s">
        <v>24</v>
      </c>
    </row>
    <row r="10" spans="1:2" x14ac:dyDescent="0.35">
      <c r="A10" t="s">
        <v>41</v>
      </c>
      <c r="B10" s="9">
        <v>-958000</v>
      </c>
    </row>
    <row r="11" spans="1:2" x14ac:dyDescent="0.35">
      <c r="A11" t="s">
        <v>42</v>
      </c>
      <c r="B11" s="9">
        <v>-587000</v>
      </c>
    </row>
    <row r="12" spans="1:2" x14ac:dyDescent="0.35">
      <c r="A12" t="s">
        <v>43</v>
      </c>
      <c r="B12" s="9">
        <v>-174000</v>
      </c>
    </row>
    <row r="13" spans="1:2" x14ac:dyDescent="0.35">
      <c r="A13" t="s">
        <v>44</v>
      </c>
      <c r="B13" s="9">
        <v>-806000</v>
      </c>
    </row>
    <row r="14" spans="1:2" x14ac:dyDescent="0.35">
      <c r="A14" t="s">
        <v>45</v>
      </c>
      <c r="B14" s="9">
        <v>-1010000</v>
      </c>
    </row>
    <row r="15" spans="1:2" x14ac:dyDescent="0.35">
      <c r="A15" t="s">
        <v>46</v>
      </c>
      <c r="B15" s="9">
        <v>-527000</v>
      </c>
    </row>
    <row r="16" spans="1:2" x14ac:dyDescent="0.35">
      <c r="A16" t="s">
        <v>47</v>
      </c>
      <c r="B16" s="9">
        <v>-930000</v>
      </c>
    </row>
    <row r="17" spans="1:2" x14ac:dyDescent="0.35">
      <c r="A17" t="s">
        <v>48</v>
      </c>
      <c r="B17" s="9">
        <v>-819000</v>
      </c>
    </row>
    <row r="18" spans="1:2" x14ac:dyDescent="0.35">
      <c r="A18" t="s">
        <v>49</v>
      </c>
      <c r="B18" s="9">
        <v>199000</v>
      </c>
    </row>
    <row r="19" spans="1:2" x14ac:dyDescent="0.35">
      <c r="A19" t="s">
        <v>50</v>
      </c>
      <c r="B19" s="9">
        <v>81000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B7D800F-1B8D-420F-B965-0377DDB6EFC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11</vt:i4>
      </vt:variant>
    </vt:vector>
  </HeadingPairs>
  <TitlesOfParts>
    <vt:vector size="11" baseType="lpstr">
      <vt:lpstr>FFR</vt:lpstr>
      <vt:lpstr>FCR-D</vt:lpstr>
      <vt:lpstr>FCR-N</vt:lpstr>
      <vt:lpstr>aFRR</vt:lpstr>
      <vt:lpstr>mFRR</vt:lpstr>
      <vt:lpstr>Effektutjämning</vt:lpstr>
      <vt:lpstr>Självförsörjning</vt:lpstr>
      <vt:lpstr>Energiarbitrage</vt:lpstr>
      <vt:lpstr>KIO_1</vt:lpstr>
      <vt:lpstr>KIO_2</vt:lpstr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 Glantz</dc:creator>
  <cp:lastModifiedBy>Joel Glantz</cp:lastModifiedBy>
  <dcterms:created xsi:type="dcterms:W3CDTF">2025-08-21T06:56:32Z</dcterms:created>
  <dcterms:modified xsi:type="dcterms:W3CDTF">2025-09-30T12:24:24Z</dcterms:modified>
</cp:coreProperties>
</file>