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elg\Dropbox\Min PC (LAPTOP-O3J5TO2R)\Documents\Examensarbete\"/>
    </mc:Choice>
  </mc:AlternateContent>
  <xr:revisionPtr revIDLastSave="0" documentId="13_ncr:1_{F4BA6253-677B-4721-8903-F78CCD994896}" xr6:coauthVersionLast="47" xr6:coauthVersionMax="47" xr10:uidLastSave="{00000000-0000-0000-0000-000000000000}"/>
  <bookViews>
    <workbookView xWindow="-110" yWindow="-110" windowWidth="19420" windowHeight="10300" firstSheet="5" activeTab="8" xr2:uid="{C9AC091D-AA29-4DAE-94E9-8207937E94B1}"/>
  </bookViews>
  <sheets>
    <sheet name="Livslängd Låg" sheetId="3" r:id="rId1"/>
    <sheet name="Livslängd Bas" sheetId="4" r:id="rId2"/>
    <sheet name="Livslängd Hög" sheetId="1" r:id="rId3"/>
    <sheet name="Grundinvestering Låg" sheetId="7" r:id="rId4"/>
    <sheet name="Grundinvestering Bas" sheetId="5" r:id="rId5"/>
    <sheet name="Grundinvestering Hög" sheetId="6" r:id="rId6"/>
    <sheet name="Intäkter Låg" sheetId="9" r:id="rId7"/>
    <sheet name="Intäkter Bas" sheetId="8" r:id="rId8"/>
    <sheet name="Intäkter Hög" sheetId="10" r:id="rId9"/>
  </sheets>
  <externalReferences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0" l="1"/>
  <c r="C13" i="10" s="1"/>
  <c r="C9" i="8"/>
  <c r="C13" i="8" s="1"/>
  <c r="C9" i="9"/>
  <c r="C13" i="9" s="1"/>
  <c r="C9" i="6"/>
  <c r="C9" i="5"/>
  <c r="C13" i="5" s="1"/>
  <c r="C9" i="7"/>
  <c r="C9" i="1"/>
  <c r="C9" i="4"/>
  <c r="C13" i="4" s="1"/>
  <c r="C9" i="3"/>
  <c r="C13" i="3" s="1"/>
  <c r="C13" i="7"/>
  <c r="C13" i="1"/>
  <c r="E11" i="1"/>
  <c r="F11" i="1" s="1"/>
  <c r="G11" i="1" s="1"/>
  <c r="H11" i="1" s="1"/>
  <c r="I11" i="1" s="1"/>
  <c r="J11" i="1" s="1"/>
  <c r="K11" i="1" s="1"/>
  <c r="L11" i="1" s="1"/>
  <c r="M11" i="1" s="1"/>
  <c r="N11" i="1" s="1"/>
  <c r="O11" i="1" s="1"/>
  <c r="P11" i="1" s="1"/>
  <c r="Q11" i="1" s="1"/>
  <c r="R11" i="1" s="1"/>
  <c r="S11" i="1" s="1"/>
  <c r="T11" i="1" s="1"/>
  <c r="D11" i="1"/>
  <c r="N11" i="3"/>
  <c r="M11" i="3"/>
  <c r="L11" i="3"/>
  <c r="K11" i="3"/>
  <c r="J11" i="3"/>
  <c r="I11" i="3"/>
  <c r="H11" i="3"/>
  <c r="G11" i="3"/>
  <c r="F11" i="3"/>
  <c r="E11" i="3"/>
  <c r="D11" i="3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Q11" i="6"/>
  <c r="P11" i="6"/>
  <c r="O11" i="6"/>
  <c r="N11" i="6"/>
  <c r="M11" i="6"/>
  <c r="L11" i="6"/>
  <c r="K11" i="6"/>
  <c r="J11" i="6"/>
  <c r="I11" i="6"/>
  <c r="H11" i="6"/>
  <c r="G11" i="6"/>
  <c r="F11" i="6"/>
  <c r="E11" i="6"/>
  <c r="D11" i="6"/>
  <c r="Q11" i="5"/>
  <c r="P11" i="5"/>
  <c r="O11" i="5"/>
  <c r="N11" i="5"/>
  <c r="M11" i="5"/>
  <c r="L11" i="5"/>
  <c r="K11" i="5"/>
  <c r="J11" i="5"/>
  <c r="I11" i="5"/>
  <c r="H11" i="5"/>
  <c r="G11" i="5"/>
  <c r="F11" i="5"/>
  <c r="E11" i="5"/>
  <c r="D11" i="5"/>
  <c r="Q11" i="7"/>
  <c r="P11" i="7"/>
  <c r="O11" i="7"/>
  <c r="N11" i="7"/>
  <c r="M11" i="7"/>
  <c r="L11" i="7"/>
  <c r="K11" i="7"/>
  <c r="J11" i="7"/>
  <c r="I11" i="7"/>
  <c r="H11" i="7"/>
  <c r="G11" i="7"/>
  <c r="F11" i="7"/>
  <c r="E11" i="7"/>
  <c r="D11" i="7"/>
  <c r="Q11" i="10"/>
  <c r="P11" i="10"/>
  <c r="O11" i="10"/>
  <c r="N11" i="10"/>
  <c r="M11" i="10"/>
  <c r="L11" i="10"/>
  <c r="K11" i="10"/>
  <c r="J11" i="10"/>
  <c r="I11" i="10"/>
  <c r="H11" i="10"/>
  <c r="G11" i="10"/>
  <c r="F11" i="10"/>
  <c r="E11" i="10"/>
  <c r="D11" i="10"/>
  <c r="Q11" i="8"/>
  <c r="P11" i="8"/>
  <c r="O11" i="8"/>
  <c r="N11" i="8"/>
  <c r="M11" i="8"/>
  <c r="L11" i="8"/>
  <c r="K11" i="8"/>
  <c r="J11" i="8"/>
  <c r="I11" i="8"/>
  <c r="H11" i="8"/>
  <c r="G11" i="8"/>
  <c r="F11" i="8"/>
  <c r="E11" i="8"/>
  <c r="D11" i="8"/>
  <c r="Q11" i="9"/>
  <c r="P11" i="9"/>
  <c r="O11" i="9"/>
  <c r="N11" i="9"/>
  <c r="M11" i="9"/>
  <c r="L11" i="9"/>
  <c r="K11" i="9"/>
  <c r="J11" i="9"/>
  <c r="I11" i="9"/>
  <c r="H11" i="9"/>
  <c r="G11" i="9"/>
  <c r="F11" i="9"/>
  <c r="E11" i="9"/>
  <c r="D11" i="9"/>
  <c r="D8" i="10" l="1"/>
  <c r="E8" i="10"/>
  <c r="F8" i="10"/>
  <c r="G8" i="10"/>
  <c r="H8" i="10"/>
  <c r="I8" i="10"/>
  <c r="J8" i="10"/>
  <c r="K8" i="10"/>
  <c r="L8" i="10"/>
  <c r="M8" i="10"/>
  <c r="N8" i="10"/>
  <c r="O8" i="10"/>
  <c r="P8" i="10"/>
  <c r="Q8" i="10"/>
  <c r="C8" i="10"/>
  <c r="B25" i="10"/>
  <c r="Q17" i="10"/>
  <c r="P17" i="10"/>
  <c r="O17" i="10"/>
  <c r="N17" i="10"/>
  <c r="M17" i="10"/>
  <c r="L17" i="10"/>
  <c r="K17" i="10"/>
  <c r="J17" i="10"/>
  <c r="I17" i="10"/>
  <c r="H17" i="10"/>
  <c r="G17" i="10"/>
  <c r="F17" i="10"/>
  <c r="E17" i="10"/>
  <c r="D17" i="10"/>
  <c r="C17" i="10"/>
  <c r="D10" i="10"/>
  <c r="B25" i="9"/>
  <c r="Q17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D10" i="9"/>
  <c r="D9" i="9"/>
  <c r="E9" i="9" s="1"/>
  <c r="F9" i="9" s="1"/>
  <c r="G9" i="9" s="1"/>
  <c r="H9" i="9" s="1"/>
  <c r="I9" i="9" s="1"/>
  <c r="J9" i="9" s="1"/>
  <c r="K9" i="9" s="1"/>
  <c r="L9" i="9" s="1"/>
  <c r="M9" i="9" s="1"/>
  <c r="N9" i="9" s="1"/>
  <c r="O9" i="9" s="1"/>
  <c r="P9" i="9" s="1"/>
  <c r="Q9" i="9" s="1"/>
  <c r="B25" i="8"/>
  <c r="Q17" i="8"/>
  <c r="P17" i="8"/>
  <c r="O17" i="8"/>
  <c r="N17" i="8"/>
  <c r="M17" i="8"/>
  <c r="L17" i="8"/>
  <c r="K17" i="8"/>
  <c r="J17" i="8"/>
  <c r="I17" i="8"/>
  <c r="H17" i="8"/>
  <c r="G17" i="8"/>
  <c r="F17" i="8"/>
  <c r="E17" i="8"/>
  <c r="D17" i="8"/>
  <c r="C17" i="8"/>
  <c r="C19" i="8"/>
  <c r="D10" i="8"/>
  <c r="E10" i="8" s="1"/>
  <c r="D9" i="8"/>
  <c r="E9" i="8" s="1"/>
  <c r="F9" i="8" s="1"/>
  <c r="G9" i="8" s="1"/>
  <c r="H9" i="8" s="1"/>
  <c r="I9" i="8" s="1"/>
  <c r="J9" i="8" s="1"/>
  <c r="K9" i="8" s="1"/>
  <c r="L9" i="8" s="1"/>
  <c r="M9" i="8" s="1"/>
  <c r="N9" i="8" s="1"/>
  <c r="O9" i="8" s="1"/>
  <c r="P9" i="8" s="1"/>
  <c r="Q9" i="8" s="1"/>
  <c r="B25" i="7"/>
  <c r="B7" i="6"/>
  <c r="B25" i="6" s="1"/>
  <c r="Q17" i="7"/>
  <c r="P17" i="7"/>
  <c r="O17" i="7"/>
  <c r="N17" i="7"/>
  <c r="M17" i="7"/>
  <c r="L17" i="7"/>
  <c r="K17" i="7"/>
  <c r="J17" i="7"/>
  <c r="I17" i="7"/>
  <c r="H17" i="7"/>
  <c r="G17" i="7"/>
  <c r="F17" i="7"/>
  <c r="E17" i="7"/>
  <c r="D17" i="7"/>
  <c r="C17" i="7"/>
  <c r="D10" i="7"/>
  <c r="E10" i="7" s="1"/>
  <c r="C19" i="7"/>
  <c r="Q17" i="6"/>
  <c r="P17" i="6"/>
  <c r="O17" i="6"/>
  <c r="N17" i="6"/>
  <c r="M17" i="6"/>
  <c r="L17" i="6"/>
  <c r="K17" i="6"/>
  <c r="J17" i="6"/>
  <c r="I17" i="6"/>
  <c r="H17" i="6"/>
  <c r="G17" i="6"/>
  <c r="F17" i="6"/>
  <c r="E17" i="6"/>
  <c r="D17" i="6"/>
  <c r="C17" i="6"/>
  <c r="D10" i="6"/>
  <c r="E10" i="6" s="1"/>
  <c r="F10" i="6" s="1"/>
  <c r="B25" i="5"/>
  <c r="Q17" i="5"/>
  <c r="P17" i="5"/>
  <c r="O17" i="5"/>
  <c r="N17" i="5"/>
  <c r="M17" i="5"/>
  <c r="L17" i="5"/>
  <c r="K17" i="5"/>
  <c r="J17" i="5"/>
  <c r="I17" i="5"/>
  <c r="H17" i="5"/>
  <c r="G17" i="5"/>
  <c r="F17" i="5"/>
  <c r="E17" i="5"/>
  <c r="D17" i="5"/>
  <c r="C17" i="5"/>
  <c r="C19" i="5"/>
  <c r="D10" i="5"/>
  <c r="E10" i="5" s="1"/>
  <c r="D9" i="5"/>
  <c r="E9" i="5" s="1"/>
  <c r="F9" i="5" s="1"/>
  <c r="G9" i="5" s="1"/>
  <c r="H9" i="5" s="1"/>
  <c r="I9" i="5" s="1"/>
  <c r="J9" i="5" s="1"/>
  <c r="K9" i="5" s="1"/>
  <c r="L9" i="5" s="1"/>
  <c r="M9" i="5" s="1"/>
  <c r="N9" i="5" s="1"/>
  <c r="O9" i="5" s="1"/>
  <c r="P9" i="5" s="1"/>
  <c r="Q9" i="5" s="1"/>
  <c r="T17" i="1"/>
  <c r="S17" i="1"/>
  <c r="R17" i="1"/>
  <c r="B25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7" i="4"/>
  <c r="C17" i="4"/>
  <c r="D10" i="4"/>
  <c r="E10" i="4" s="1"/>
  <c r="B25" i="3"/>
  <c r="N17" i="3"/>
  <c r="M17" i="3"/>
  <c r="L17" i="3"/>
  <c r="K17" i="3"/>
  <c r="J17" i="3"/>
  <c r="I17" i="3"/>
  <c r="H17" i="3"/>
  <c r="G17" i="3"/>
  <c r="F17" i="3"/>
  <c r="E17" i="3"/>
  <c r="D17" i="3"/>
  <c r="C17" i="3"/>
  <c r="D10" i="3"/>
  <c r="E10" i="3" s="1"/>
  <c r="D9" i="3"/>
  <c r="B25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D10" i="1"/>
  <c r="C19" i="1"/>
  <c r="E13" i="8" l="1"/>
  <c r="E13" i="5"/>
  <c r="D13" i="3"/>
  <c r="E10" i="1"/>
  <c r="F10" i="7"/>
  <c r="D13" i="5"/>
  <c r="E10" i="9"/>
  <c r="E13" i="9" s="1"/>
  <c r="D13" i="9"/>
  <c r="D19" i="9" s="1"/>
  <c r="E10" i="10"/>
  <c r="D13" i="10"/>
  <c r="D13" i="8"/>
  <c r="D19" i="8" s="1"/>
  <c r="D9" i="6"/>
  <c r="C13" i="6"/>
  <c r="C19" i="6" s="1"/>
  <c r="C19" i="4"/>
  <c r="C19" i="10"/>
  <c r="F10" i="10"/>
  <c r="D9" i="10"/>
  <c r="F10" i="9"/>
  <c r="F13" i="9" s="1"/>
  <c r="E19" i="9"/>
  <c r="C19" i="9"/>
  <c r="F10" i="8"/>
  <c r="F13" i="8" s="1"/>
  <c r="E19" i="8"/>
  <c r="G10" i="7"/>
  <c r="D9" i="7"/>
  <c r="D13" i="7" s="1"/>
  <c r="G10" i="6"/>
  <c r="F10" i="5"/>
  <c r="F13" i="5" s="1"/>
  <c r="E19" i="5"/>
  <c r="D19" i="5"/>
  <c r="C19" i="3"/>
  <c r="F10" i="4"/>
  <c r="D9" i="4"/>
  <c r="D13" i="4" s="1"/>
  <c r="E9" i="3"/>
  <c r="F9" i="3" s="1"/>
  <c r="G9" i="3" s="1"/>
  <c r="H9" i="3" s="1"/>
  <c r="I9" i="3" s="1"/>
  <c r="J9" i="3" s="1"/>
  <c r="K9" i="3" s="1"/>
  <c r="L9" i="3" s="1"/>
  <c r="M9" i="3" s="1"/>
  <c r="N9" i="3" s="1"/>
  <c r="D19" i="3"/>
  <c r="F10" i="3"/>
  <c r="D9" i="1"/>
  <c r="D13" i="1" s="1"/>
  <c r="E9" i="6" l="1"/>
  <c r="D13" i="6"/>
  <c r="D19" i="6" s="1"/>
  <c r="F13" i="3"/>
  <c r="E13" i="3"/>
  <c r="E19" i="3" s="1"/>
  <c r="F10" i="1"/>
  <c r="E9" i="10"/>
  <c r="E13" i="10" s="1"/>
  <c r="D19" i="10"/>
  <c r="G10" i="10"/>
  <c r="G10" i="9"/>
  <c r="G13" i="9" s="1"/>
  <c r="F19" i="9"/>
  <c r="G10" i="8"/>
  <c r="G13" i="8" s="1"/>
  <c r="F19" i="8"/>
  <c r="H10" i="7"/>
  <c r="E9" i="7"/>
  <c r="E13" i="7" s="1"/>
  <c r="D19" i="7"/>
  <c r="H10" i="6"/>
  <c r="F19" i="5"/>
  <c r="G10" i="5"/>
  <c r="G13" i="5" s="1"/>
  <c r="D19" i="4"/>
  <c r="E9" i="4"/>
  <c r="E13" i="4" s="1"/>
  <c r="G10" i="4"/>
  <c r="G10" i="3"/>
  <c r="G13" i="3" s="1"/>
  <c r="F19" i="3"/>
  <c r="E9" i="1"/>
  <c r="E13" i="1" s="1"/>
  <c r="D19" i="1"/>
  <c r="F9" i="6" l="1"/>
  <c r="E13" i="6"/>
  <c r="E19" i="6" s="1"/>
  <c r="G10" i="1"/>
  <c r="F9" i="10"/>
  <c r="F13" i="10" s="1"/>
  <c r="E19" i="10"/>
  <c r="H10" i="10"/>
  <c r="H10" i="9"/>
  <c r="H13" i="9" s="1"/>
  <c r="G19" i="9"/>
  <c r="G19" i="8"/>
  <c r="H10" i="8"/>
  <c r="H13" i="8" s="1"/>
  <c r="I10" i="7"/>
  <c r="F9" i="7"/>
  <c r="F13" i="7" s="1"/>
  <c r="E19" i="7"/>
  <c r="I10" i="6"/>
  <c r="G19" i="5"/>
  <c r="H10" i="5"/>
  <c r="H13" i="5" s="1"/>
  <c r="F9" i="4"/>
  <c r="F13" i="4" s="1"/>
  <c r="E19" i="4"/>
  <c r="H10" i="4"/>
  <c r="G19" i="3"/>
  <c r="H10" i="3"/>
  <c r="H13" i="3" s="1"/>
  <c r="F9" i="1"/>
  <c r="F13" i="1" s="1"/>
  <c r="E19" i="1"/>
  <c r="G9" i="6" l="1"/>
  <c r="F13" i="6"/>
  <c r="F19" i="6" s="1"/>
  <c r="G13" i="1"/>
  <c r="H10" i="1"/>
  <c r="G9" i="10"/>
  <c r="G13" i="10" s="1"/>
  <c r="F19" i="10"/>
  <c r="I10" i="10"/>
  <c r="I10" i="9"/>
  <c r="I13" i="9" s="1"/>
  <c r="H19" i="9"/>
  <c r="H19" i="8"/>
  <c r="I10" i="8"/>
  <c r="I13" i="8" s="1"/>
  <c r="G9" i="7"/>
  <c r="G13" i="7" s="1"/>
  <c r="F19" i="7"/>
  <c r="J10" i="7"/>
  <c r="J10" i="6"/>
  <c r="I10" i="5"/>
  <c r="I13" i="5" s="1"/>
  <c r="H19" i="5"/>
  <c r="G9" i="4"/>
  <c r="G13" i="4" s="1"/>
  <c r="F19" i="4"/>
  <c r="I10" i="4"/>
  <c r="H19" i="3"/>
  <c r="I10" i="3"/>
  <c r="I13" i="3" s="1"/>
  <c r="G9" i="1"/>
  <c r="F19" i="1"/>
  <c r="H9" i="6" l="1"/>
  <c r="G13" i="6"/>
  <c r="G19" i="6" s="1"/>
  <c r="H13" i="1"/>
  <c r="I10" i="1"/>
  <c r="H9" i="10"/>
  <c r="H13" i="10" s="1"/>
  <c r="G19" i="10"/>
  <c r="J10" i="10"/>
  <c r="I19" i="9"/>
  <c r="J10" i="9"/>
  <c r="J13" i="9" s="1"/>
  <c r="J10" i="8"/>
  <c r="J13" i="8" s="1"/>
  <c r="I19" i="8"/>
  <c r="H9" i="7"/>
  <c r="H13" i="7" s="1"/>
  <c r="G19" i="7"/>
  <c r="K10" i="7"/>
  <c r="K10" i="6"/>
  <c r="J10" i="5"/>
  <c r="J13" i="5" s="1"/>
  <c r="I19" i="5"/>
  <c r="J10" i="4"/>
  <c r="H9" i="4"/>
  <c r="H13" i="4" s="1"/>
  <c r="G19" i="4"/>
  <c r="J10" i="3"/>
  <c r="J13" i="3" s="1"/>
  <c r="I19" i="3"/>
  <c r="H9" i="1"/>
  <c r="G19" i="1"/>
  <c r="I9" i="6" l="1"/>
  <c r="H13" i="6"/>
  <c r="H19" i="6" s="1"/>
  <c r="I13" i="1"/>
  <c r="J10" i="1"/>
  <c r="I9" i="10"/>
  <c r="I13" i="10" s="1"/>
  <c r="H19" i="10"/>
  <c r="K10" i="10"/>
  <c r="J19" i="9"/>
  <c r="K10" i="9"/>
  <c r="K13" i="9" s="1"/>
  <c r="K10" i="8"/>
  <c r="K13" i="8" s="1"/>
  <c r="J19" i="8"/>
  <c r="I9" i="7"/>
  <c r="I13" i="7" s="1"/>
  <c r="H19" i="7"/>
  <c r="L10" i="7"/>
  <c r="L10" i="6"/>
  <c r="J19" i="5"/>
  <c r="K10" i="5"/>
  <c r="K13" i="5" s="1"/>
  <c r="K10" i="4"/>
  <c r="I9" i="4"/>
  <c r="I13" i="4" s="1"/>
  <c r="H19" i="4"/>
  <c r="J19" i="3"/>
  <c r="K10" i="3"/>
  <c r="K13" i="3" s="1"/>
  <c r="I9" i="1"/>
  <c r="H19" i="1"/>
  <c r="J9" i="6" l="1"/>
  <c r="I13" i="6"/>
  <c r="I19" i="6" s="1"/>
  <c r="J13" i="1"/>
  <c r="K10" i="1"/>
  <c r="J9" i="10"/>
  <c r="J13" i="10" s="1"/>
  <c r="I19" i="10"/>
  <c r="L10" i="10"/>
  <c r="L10" i="9"/>
  <c r="L13" i="9" s="1"/>
  <c r="K19" i="9"/>
  <c r="L10" i="8"/>
  <c r="L13" i="8" s="1"/>
  <c r="K19" i="8"/>
  <c r="J9" i="7"/>
  <c r="J13" i="7" s="1"/>
  <c r="I19" i="7"/>
  <c r="M10" i="7"/>
  <c r="M10" i="6"/>
  <c r="L10" i="5"/>
  <c r="L13" i="5" s="1"/>
  <c r="K19" i="5"/>
  <c r="L10" i="4"/>
  <c r="J9" i="4"/>
  <c r="J13" i="4" s="1"/>
  <c r="I19" i="4"/>
  <c r="L10" i="3"/>
  <c r="L13" i="3" s="1"/>
  <c r="K19" i="3"/>
  <c r="J9" i="1"/>
  <c r="I19" i="1"/>
  <c r="K9" i="6" l="1"/>
  <c r="J13" i="6"/>
  <c r="J19" i="6" s="1"/>
  <c r="K13" i="1"/>
  <c r="L10" i="1"/>
  <c r="K9" i="10"/>
  <c r="K13" i="10" s="1"/>
  <c r="J19" i="10"/>
  <c r="M10" i="10"/>
  <c r="M10" i="9"/>
  <c r="M13" i="9" s="1"/>
  <c r="L19" i="9"/>
  <c r="M10" i="8"/>
  <c r="M13" i="8" s="1"/>
  <c r="L19" i="8"/>
  <c r="N10" i="7"/>
  <c r="K9" i="7"/>
  <c r="K13" i="7" s="1"/>
  <c r="J19" i="7"/>
  <c r="N10" i="6"/>
  <c r="M10" i="5"/>
  <c r="M13" i="5" s="1"/>
  <c r="L19" i="5"/>
  <c r="M10" i="4"/>
  <c r="K9" i="4"/>
  <c r="K13" i="4" s="1"/>
  <c r="J19" i="4"/>
  <c r="M10" i="3"/>
  <c r="M13" i="3" s="1"/>
  <c r="L19" i="3"/>
  <c r="K9" i="1"/>
  <c r="J19" i="1"/>
  <c r="L9" i="6" l="1"/>
  <c r="K13" i="6"/>
  <c r="K19" i="6" s="1"/>
  <c r="L13" i="1"/>
  <c r="M10" i="1"/>
  <c r="L9" i="10"/>
  <c r="L13" i="10" s="1"/>
  <c r="K19" i="10"/>
  <c r="N10" i="10"/>
  <c r="M19" i="9"/>
  <c r="N10" i="9"/>
  <c r="N13" i="9" s="1"/>
  <c r="N10" i="8"/>
  <c r="N13" i="8" s="1"/>
  <c r="M19" i="8"/>
  <c r="L9" i="7"/>
  <c r="L13" i="7" s="1"/>
  <c r="K19" i="7"/>
  <c r="O10" i="7"/>
  <c r="O10" i="6"/>
  <c r="N10" i="5"/>
  <c r="N13" i="5" s="1"/>
  <c r="M19" i="5"/>
  <c r="L9" i="4"/>
  <c r="L13" i="4" s="1"/>
  <c r="K19" i="4"/>
  <c r="N10" i="4"/>
  <c r="N10" i="3"/>
  <c r="N13" i="3" s="1"/>
  <c r="M19" i="3"/>
  <c r="L9" i="1"/>
  <c r="K19" i="1"/>
  <c r="N10" i="1"/>
  <c r="M9" i="6" l="1"/>
  <c r="L13" i="6"/>
  <c r="L19" i="6" s="1"/>
  <c r="M9" i="10"/>
  <c r="M13" i="10" s="1"/>
  <c r="L19" i="10"/>
  <c r="O10" i="10"/>
  <c r="O10" i="9"/>
  <c r="O13" i="9" s="1"/>
  <c r="N19" i="9"/>
  <c r="O10" i="8"/>
  <c r="O13" i="8" s="1"/>
  <c r="N19" i="8"/>
  <c r="P10" i="7"/>
  <c r="M9" i="7"/>
  <c r="M13" i="7" s="1"/>
  <c r="L19" i="7"/>
  <c r="P10" i="6"/>
  <c r="O10" i="5"/>
  <c r="O13" i="5" s="1"/>
  <c r="N19" i="5"/>
  <c r="O10" i="4"/>
  <c r="M9" i="4"/>
  <c r="M13" i="4" s="1"/>
  <c r="L19" i="4"/>
  <c r="N19" i="3"/>
  <c r="O10" i="1"/>
  <c r="M9" i="1"/>
  <c r="M13" i="1" s="1"/>
  <c r="L19" i="1"/>
  <c r="N9" i="6" l="1"/>
  <c r="M13" i="6"/>
  <c r="M19" i="6" s="1"/>
  <c r="N9" i="10"/>
  <c r="N13" i="10" s="1"/>
  <c r="M19" i="10"/>
  <c r="P10" i="10"/>
  <c r="P10" i="9"/>
  <c r="P13" i="9" s="1"/>
  <c r="O19" i="9"/>
  <c r="O19" i="8"/>
  <c r="P10" i="8"/>
  <c r="P13" i="8" s="1"/>
  <c r="N9" i="7"/>
  <c r="N13" i="7" s="1"/>
  <c r="M19" i="7"/>
  <c r="Q10" i="7"/>
  <c r="Q10" i="6"/>
  <c r="O19" i="5"/>
  <c r="P10" i="5"/>
  <c r="P13" i="5" s="1"/>
  <c r="N9" i="4"/>
  <c r="N13" i="4" s="1"/>
  <c r="M19" i="4"/>
  <c r="P10" i="4"/>
  <c r="P10" i="1"/>
  <c r="N9" i="1"/>
  <c r="N13" i="1" s="1"/>
  <c r="M19" i="1"/>
  <c r="O9" i="6" l="1"/>
  <c r="N13" i="6"/>
  <c r="N19" i="6" s="1"/>
  <c r="O9" i="10"/>
  <c r="O13" i="10" s="1"/>
  <c r="N19" i="10"/>
  <c r="Q10" i="10"/>
  <c r="Q10" i="9"/>
  <c r="Q13" i="9" s="1"/>
  <c r="P19" i="9"/>
  <c r="P19" i="8"/>
  <c r="Q10" i="8"/>
  <c r="O9" i="7"/>
  <c r="O13" i="7" s="1"/>
  <c r="N19" i="7"/>
  <c r="Q10" i="5"/>
  <c r="P19" i="5"/>
  <c r="Q10" i="4"/>
  <c r="O9" i="4"/>
  <c r="O13" i="4" s="1"/>
  <c r="N19" i="4"/>
  <c r="B20" i="3"/>
  <c r="B24" i="3" s="1"/>
  <c r="B26" i="3" s="1"/>
  <c r="O9" i="1"/>
  <c r="O13" i="1" s="1"/>
  <c r="N19" i="1"/>
  <c r="Q10" i="1"/>
  <c r="P9" i="6" l="1"/>
  <c r="O13" i="6"/>
  <c r="O19" i="6" s="1"/>
  <c r="R10" i="1"/>
  <c r="Q13" i="5"/>
  <c r="Q19" i="5" s="1"/>
  <c r="B20" i="5" s="1"/>
  <c r="B24" i="5" s="1"/>
  <c r="B26" i="5" s="1"/>
  <c r="Q13" i="8"/>
  <c r="Q19" i="8" s="1"/>
  <c r="B20" i="8" s="1"/>
  <c r="P9" i="10"/>
  <c r="P13" i="10" s="1"/>
  <c r="O19" i="10"/>
  <c r="Q19" i="9"/>
  <c r="B20" i="9" s="1"/>
  <c r="B24" i="9" s="1"/>
  <c r="B26" i="9" s="1"/>
  <c r="P9" i="7"/>
  <c r="P13" i="7" s="1"/>
  <c r="O19" i="7"/>
  <c r="P9" i="4"/>
  <c r="P13" i="4" s="1"/>
  <c r="O19" i="4"/>
  <c r="P9" i="1"/>
  <c r="P13" i="1" s="1"/>
  <c r="O19" i="1"/>
  <c r="Q9" i="6" l="1"/>
  <c r="Q13" i="6" s="1"/>
  <c r="Q19" i="6" s="1"/>
  <c r="P13" i="6"/>
  <c r="P19" i="6" s="1"/>
  <c r="S10" i="1"/>
  <c r="B24" i="8"/>
  <c r="B26" i="8" s="1"/>
  <c r="Q9" i="10"/>
  <c r="P19" i="10"/>
  <c r="Q9" i="7"/>
  <c r="P19" i="7"/>
  <c r="Q9" i="4"/>
  <c r="P19" i="4"/>
  <c r="Q9" i="1"/>
  <c r="Q13" i="1" s="1"/>
  <c r="P19" i="1"/>
  <c r="Q13" i="10" l="1"/>
  <c r="Q19" i="10" s="1"/>
  <c r="B20" i="10" s="1"/>
  <c r="B24" i="10" s="1"/>
  <c r="B26" i="10" s="1"/>
  <c r="B20" i="6"/>
  <c r="B24" i="6" s="1"/>
  <c r="B26" i="6" s="1"/>
  <c r="Q19" i="7"/>
  <c r="B20" i="7" s="1"/>
  <c r="B24" i="7" s="1"/>
  <c r="B26" i="7" s="1"/>
  <c r="Q13" i="7"/>
  <c r="Q13" i="4"/>
  <c r="Q19" i="4" s="1"/>
  <c r="B20" i="4" s="1"/>
  <c r="B24" i="4" s="1"/>
  <c r="B26" i="4" s="1"/>
  <c r="T10" i="1"/>
  <c r="Q19" i="1"/>
  <c r="R9" i="1"/>
  <c r="R13" i="1" s="1"/>
  <c r="S9" i="1" l="1"/>
  <c r="S13" i="1" s="1"/>
  <c r="R19" i="1"/>
  <c r="T9" i="1" l="1"/>
  <c r="S19" i="1"/>
  <c r="T19" i="1" l="1"/>
  <c r="B20" i="1" s="1"/>
  <c r="B24" i="1" s="1"/>
  <c r="B26" i="1" s="1"/>
  <c r="T13" i="1"/>
</calcChain>
</file>

<file path=xl/sharedStrings.xml><?xml version="1.0" encoding="utf-8"?>
<sst xmlns="http://schemas.openxmlformats.org/spreadsheetml/2006/main" count="342" uniqueCount="43">
  <si>
    <t>Kalkylram</t>
  </si>
  <si>
    <t xml:space="preserve"> </t>
  </si>
  <si>
    <t>År 1</t>
  </si>
  <si>
    <t>År 2</t>
  </si>
  <si>
    <t>År 3</t>
  </si>
  <si>
    <t>År 4</t>
  </si>
  <si>
    <t>År 5</t>
  </si>
  <si>
    <t>År 6</t>
  </si>
  <si>
    <t>År 7</t>
  </si>
  <si>
    <t>År 8</t>
  </si>
  <si>
    <t>År 9</t>
  </si>
  <si>
    <t>År 10</t>
  </si>
  <si>
    <t>År 11</t>
  </si>
  <si>
    <t>År 12</t>
  </si>
  <si>
    <t>År 13</t>
  </si>
  <si>
    <t>År 14</t>
  </si>
  <si>
    <t>År 15</t>
  </si>
  <si>
    <t>Kalkylränta (r)</t>
  </si>
  <si>
    <t>6 %</t>
  </si>
  <si>
    <t>Ekonomisk livslängd (n)</t>
  </si>
  <si>
    <t>15 år</t>
  </si>
  <si>
    <t>Betalningsflöden</t>
  </si>
  <si>
    <t>Grundinvestering (G)</t>
  </si>
  <si>
    <t>Intäkt FCR-D (kr/år)</t>
  </si>
  <si>
    <t>Intäkt Effektutjämning (kr/år)</t>
  </si>
  <si>
    <t>Intäkt Energiarbitrage (kr/år)</t>
  </si>
  <si>
    <t>Driftkostnader (kr/år)</t>
  </si>
  <si>
    <t>Löpande inbetalningsöverskott (a)</t>
  </si>
  <si>
    <t>Analys</t>
  </si>
  <si>
    <t>Nuvärdesfaktor</t>
  </si>
  <si>
    <t>Grundinvestering</t>
  </si>
  <si>
    <t>Nuvärde av (a)</t>
  </si>
  <si>
    <t>Summa</t>
  </si>
  <si>
    <t>Analysmått</t>
  </si>
  <si>
    <t>Summa nuvärde av framtida (a)</t>
  </si>
  <si>
    <t>Kapitelvärde</t>
  </si>
  <si>
    <t>År 16</t>
  </si>
  <si>
    <t>År 17</t>
  </si>
  <si>
    <t>År 18</t>
  </si>
  <si>
    <t>12 år</t>
  </si>
  <si>
    <t>18 år</t>
  </si>
  <si>
    <t>Kapacitetsförlust (%/år)</t>
  </si>
  <si>
    <t>Kapitalvärde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</si>
</sst>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1" xfId="0" applyBorder="1"/>
    <xf numFmtId="49" fontId="0" fillId="0" borderId="1" xfId="0" applyNumberFormat="1" applyBorder="1"/>
    <xf numFmtId="0" fontId="1" fillId="0" borderId="1" xfId="0" applyFont="1" applyBorder="1"/>
    <xf numFmtId="2" fontId="0" fillId="0" borderId="1" xfId="0" applyNumberFormat="1" applyBorder="1"/>
    <xf numFmtId="3" fontId="0" fillId="0" borderId="0" xfId="0" applyNumberFormat="1"/>
    <xf numFmtId="1" fontId="0" fillId="0" borderId="0" xfId="0" applyNumberFormat="1"/>
    <xf numFmtId="0" fontId="1" fillId="0" borderId="2" xfId="0" applyFont="1" applyBorder="1"/>
    <xf numFmtId="1" fontId="1" fillId="0" borderId="2" xfId="0" applyNumberFormat="1" applyFont="1" applyBorder="1"/>
  </cellXfs>
  <cellStyles count="1">
    <cellStyle name="Normal" xfId="0" builtinId="0"/>
  </cellStyles>
  <dxfs count="135"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elg\Dropbox\Min%20PC%20(LAPTOP-O3J5TO2R)\Documents\Examensarbete\R&#228;kneexempel%20Examensarbete.xlsx" TargetMode="External"/><Relationship Id="rId1" Type="http://schemas.openxmlformats.org/officeDocument/2006/relationships/externalLinkPath" Target="R&#228;kneexempel%20Examensarb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FR"/>
      <sheetName val="FCR-D"/>
      <sheetName val="FCR-N"/>
      <sheetName val="aFRR"/>
      <sheetName val="mFRR"/>
      <sheetName val="Effektutjämning"/>
      <sheetName val="Självförsörjning"/>
      <sheetName val="Energiarbitrage"/>
      <sheetName val="KIO_1"/>
      <sheetName val="KIO_2"/>
      <sheetName val="Blad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49BCDB9-6FAD-475D-A419-6F1D64C1E3C6}" name="Tabell2589104" displayName="Tabell2589104" ref="A1:N26" totalsRowShown="0">
  <autoFilter ref="A1:N26" xr:uid="{93BF1AA6-6ED1-4310-A8C3-84D91BF4AFED}"/>
  <tableColumns count="14">
    <tableColumn id="1" xr3:uid="{AE3E41E1-D2A4-4D50-818C-A180ACCF93F7}" name="Kalkylram"/>
    <tableColumn id="2" xr3:uid="{14C365B3-5747-4309-A31C-14DBBA12260C}" name=" "/>
    <tableColumn id="3" xr3:uid="{CBDA6533-8FC6-497F-990E-B864EA2DA598}" name="År 1" dataDxfId="134">
      <calculatedColumnFormula>(1+0.1)^-1</calculatedColumnFormula>
    </tableColumn>
    <tableColumn id="4" xr3:uid="{5DF94E91-4D4D-49B3-8DE3-DCFBF0D74F1E}" name="År 2" dataDxfId="133">
      <calculatedColumnFormula>(1+0.1)^-2</calculatedColumnFormula>
    </tableColumn>
    <tableColumn id="5" xr3:uid="{9B285F16-5217-4638-957D-4FFADB90846F}" name="År 3" dataDxfId="132">
      <calculatedColumnFormula>(1+0.1)^-3</calculatedColumnFormula>
    </tableColumn>
    <tableColumn id="6" xr3:uid="{49CB3F63-E184-45E3-903E-5F4ABAAA347E}" name="År 4" dataDxfId="131">
      <calculatedColumnFormula>(1+0.1)^-4</calculatedColumnFormula>
    </tableColumn>
    <tableColumn id="7" xr3:uid="{E86B93C8-1FA0-4EAF-9D41-7B0607F5A117}" name="År 5" dataDxfId="130">
      <calculatedColumnFormula>(1+0.1)^-5</calculatedColumnFormula>
    </tableColumn>
    <tableColumn id="8" xr3:uid="{9806D4C5-C625-48DA-BA50-258DA766DD04}" name="År 6" dataDxfId="129">
      <calculatedColumnFormula>(1+0.1)^-6</calculatedColumnFormula>
    </tableColumn>
    <tableColumn id="9" xr3:uid="{180330E1-E01C-4573-928B-DEBDC34AE680}" name="År 7" dataDxfId="128">
      <calculatedColumnFormula>(1+0.1)^-7</calculatedColumnFormula>
    </tableColumn>
    <tableColumn id="10" xr3:uid="{AFB7A401-1630-4F8D-B47D-01A60B1C773E}" name="År 8" dataDxfId="127">
      <calculatedColumnFormula>(1+0.1)^-8</calculatedColumnFormula>
    </tableColumn>
    <tableColumn id="24" xr3:uid="{DCA16207-3D6A-43DB-AEAB-8DCC17354ACC}" name="År 9" dataDxfId="126">
      <calculatedColumnFormula>(1+0.08)^-9</calculatedColumnFormula>
    </tableColumn>
    <tableColumn id="25" xr3:uid="{173008E0-09A3-48D0-A371-6C52D6400BD5}" name="År 10" dataDxfId="125">
      <calculatedColumnFormula>(1+0.08)^-10</calculatedColumnFormula>
    </tableColumn>
    <tableColumn id="11" xr3:uid="{99B70440-311B-4373-9E74-5802226AD46C}" name="År 11" dataDxfId="124"/>
    <tableColumn id="12" xr3:uid="{B43E1F45-4EDF-44FA-8013-4DA8C48FAFE0}" name="År 12" dataDxfId="123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0C792E7-8DB6-4936-A9CC-EC6E2A5A037C}" name="Tabell25891045" displayName="Tabell25891045" ref="A1:Q26" totalsRowShown="0">
  <autoFilter ref="A1:Q26" xr:uid="{93BF1AA6-6ED1-4310-A8C3-84D91BF4AFED}"/>
  <tableColumns count="17">
    <tableColumn id="1" xr3:uid="{F536291D-4905-45E2-BD98-EC950D436DB4}" name="Kalkylram"/>
    <tableColumn id="2" xr3:uid="{D5808BD9-C0D5-4505-9835-5656E8FFF35A}" name=" "/>
    <tableColumn id="3" xr3:uid="{52689B98-F557-4783-BF54-1591E45B2959}" name="År 1" dataDxfId="122">
      <calculatedColumnFormula>(1+0.1)^-1</calculatedColumnFormula>
    </tableColumn>
    <tableColumn id="4" xr3:uid="{82EFFCCB-3E59-4FA3-9265-B830F2A99246}" name="År 2" dataDxfId="121">
      <calculatedColumnFormula>(1+0.1)^-2</calculatedColumnFormula>
    </tableColumn>
    <tableColumn id="5" xr3:uid="{56AE166C-DF22-423E-911C-7BBE162157EF}" name="År 3" dataDxfId="120">
      <calculatedColumnFormula>(1+0.1)^-3</calculatedColumnFormula>
    </tableColumn>
    <tableColumn id="6" xr3:uid="{9AE44945-BA2C-4B83-BC46-573601BE4EC4}" name="År 4" dataDxfId="119">
      <calculatedColumnFormula>(1+0.1)^-4</calculatedColumnFormula>
    </tableColumn>
    <tableColumn id="7" xr3:uid="{FFD9A804-CCB1-4913-8DDE-EE19F2E3547B}" name="År 5" dataDxfId="118">
      <calculatedColumnFormula>(1+0.1)^-5</calculatedColumnFormula>
    </tableColumn>
    <tableColumn id="8" xr3:uid="{962CF0CA-CDD8-4243-8E2F-DFF9A54CCB79}" name="År 6" dataDxfId="117">
      <calculatedColumnFormula>(1+0.1)^-6</calculatedColumnFormula>
    </tableColumn>
    <tableColumn id="9" xr3:uid="{6D9C6847-CB76-4119-8DE1-7ACC15E57F2D}" name="År 7" dataDxfId="116">
      <calculatedColumnFormula>(1+0.1)^-7</calculatedColumnFormula>
    </tableColumn>
    <tableColumn id="10" xr3:uid="{B7B02887-A52A-450F-9B2C-57278F4E5746}" name="År 8" dataDxfId="115">
      <calculatedColumnFormula>(1+0.1)^-8</calculatedColumnFormula>
    </tableColumn>
    <tableColumn id="24" xr3:uid="{C7B0655A-CD22-432F-BA0C-D2C169CF5A59}" name="År 9" dataDxfId="114">
      <calculatedColumnFormula>(1+0.08)^-9</calculatedColumnFormula>
    </tableColumn>
    <tableColumn id="25" xr3:uid="{FB634BF9-3109-4EA5-8FAF-E010625001AE}" name="År 10" dataDxfId="113">
      <calculatedColumnFormula>(1+0.08)^-10</calculatedColumnFormula>
    </tableColumn>
    <tableColumn id="11" xr3:uid="{31A1D6B8-E1F8-480E-9543-D428550FE282}" name="År 11" dataDxfId="112"/>
    <tableColumn id="12" xr3:uid="{AD45F7F3-4D50-48D9-AF16-BB77E6553A65}" name="År 12" dataDxfId="111"/>
    <tableColumn id="13" xr3:uid="{77679E96-80F6-4CE2-997E-8252B8B80ACA}" name="År 13" dataDxfId="110"/>
    <tableColumn id="14" xr3:uid="{47FEFDC1-7D56-48C8-ADDE-1985A700F1EE}" name="År 14" dataDxfId="109"/>
    <tableColumn id="15" xr3:uid="{90ACA726-3CB9-45AF-9670-3A27EA779406}" name="År 15" dataDxfId="108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3BF1AA6-6ED1-4310-A8C3-84D91BF4AFED}" name="Tabell258910" displayName="Tabell258910" ref="A1:T26" totalsRowShown="0">
  <autoFilter ref="A1:T26" xr:uid="{93BF1AA6-6ED1-4310-A8C3-84D91BF4AFED}"/>
  <tableColumns count="20">
    <tableColumn id="1" xr3:uid="{B8493F30-852E-4D99-9C3D-8B92D3E1511B}" name="Kalkylram"/>
    <tableColumn id="2" xr3:uid="{BF3DE534-0794-450A-8A7F-8DD4B3906708}" name=" "/>
    <tableColumn id="3" xr3:uid="{60691556-486A-4330-B145-4E74FCC8F551}" name="År 1" dataDxfId="107">
      <calculatedColumnFormula>(1+0.1)^-1</calculatedColumnFormula>
    </tableColumn>
    <tableColumn id="4" xr3:uid="{BAFD895A-A32E-4C6F-9382-D011D8D08816}" name="År 2" dataDxfId="106">
      <calculatedColumnFormula>(1+0.1)^-2</calculatedColumnFormula>
    </tableColumn>
    <tableColumn id="5" xr3:uid="{90D908C0-1306-4A5E-B629-E5FBDAD17306}" name="År 3" dataDxfId="105">
      <calculatedColumnFormula>(1+0.1)^-3</calculatedColumnFormula>
    </tableColumn>
    <tableColumn id="6" xr3:uid="{084F44DD-11A5-4CDD-849C-A7C727846E21}" name="År 4" dataDxfId="104">
      <calculatedColumnFormula>(1+0.1)^-4</calculatedColumnFormula>
    </tableColumn>
    <tableColumn id="7" xr3:uid="{855BE524-42BC-47E4-A452-745893D50A01}" name="År 5" dataDxfId="103">
      <calculatedColumnFormula>(1+0.1)^-5</calculatedColumnFormula>
    </tableColumn>
    <tableColumn id="8" xr3:uid="{E51AD2E5-3D09-4B2C-BA2C-B92D2E8A2A71}" name="År 6" dataDxfId="102">
      <calculatedColumnFormula>(1+0.1)^-6</calculatedColumnFormula>
    </tableColumn>
    <tableColumn id="9" xr3:uid="{F1F3B469-6C6C-4A6C-B46A-4B9BBD70C43E}" name="År 7" dataDxfId="101">
      <calculatedColumnFormula>(1+0.1)^-7</calculatedColumnFormula>
    </tableColumn>
    <tableColumn id="10" xr3:uid="{43C5755A-0410-4F61-80A6-A78BD1945CB7}" name="År 8" dataDxfId="100">
      <calculatedColumnFormula>(1+0.1)^-8</calculatedColumnFormula>
    </tableColumn>
    <tableColumn id="24" xr3:uid="{083A6F11-C9E3-456C-A1AA-184CAAD6AD76}" name="År 9" dataDxfId="99">
      <calculatedColumnFormula>(1+0.08)^-9</calculatedColumnFormula>
    </tableColumn>
    <tableColumn id="25" xr3:uid="{85ACF4C0-3112-4914-8B2C-86BC0595C66E}" name="År 10" dataDxfId="98">
      <calculatedColumnFormula>(1+0.08)^-10</calculatedColumnFormula>
    </tableColumn>
    <tableColumn id="11" xr3:uid="{87D73024-53BA-43DD-BE9F-3370FDAF4112}" name="År 11" dataDxfId="97"/>
    <tableColumn id="12" xr3:uid="{7C3B2A02-45C0-4B3A-B845-59B2D5ECCF0D}" name="År 12" dataDxfId="96"/>
    <tableColumn id="13" xr3:uid="{1AF8DA53-F4F4-4651-83FD-81C4EB3BB571}" name="År 13" dataDxfId="95"/>
    <tableColumn id="14" xr3:uid="{BC81E1B3-56E0-4B11-A046-2D21DF2FA32C}" name="År 14" dataDxfId="94"/>
    <tableColumn id="15" xr3:uid="{22641A69-0831-4D60-8AB1-539E321D13DC}" name="År 15" dataDxfId="93"/>
    <tableColumn id="16" xr3:uid="{02C30731-69D1-4EA3-8A93-032545254DAF}" name="År 16" dataDxfId="92"/>
    <tableColumn id="17" xr3:uid="{346A8728-1303-4666-ADD2-5FDD9CAFF68C}" name="År 17" dataDxfId="91"/>
    <tableColumn id="18" xr3:uid="{6FEC2E86-6DA0-4D4C-8953-8932485D3CC0}" name="År 18" dataDxfId="90"/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A4A68BF-6071-43EA-BCEB-5A75C12F1702}" name="Tabell2589104568" displayName="Tabell2589104568" ref="A1:Q26" totalsRowShown="0">
  <autoFilter ref="A1:Q26" xr:uid="{93BF1AA6-6ED1-4310-A8C3-84D91BF4AFED}"/>
  <tableColumns count="17">
    <tableColumn id="1" xr3:uid="{7E50C3D2-7F52-451C-A4DC-DE96FE56880F}" name="Kalkylram"/>
    <tableColumn id="2" xr3:uid="{89BFC88A-3443-43F4-8ED9-B4EBF32E087A}" name=" "/>
    <tableColumn id="3" xr3:uid="{F647FCBF-DFCE-4BA4-90D7-549B458550C4}" name="År 1" dataDxfId="89">
      <calculatedColumnFormula>(1+0.1)^-1</calculatedColumnFormula>
    </tableColumn>
    <tableColumn id="4" xr3:uid="{63F9B786-322E-4D05-B3AF-BD2DA4C60BDF}" name="År 2" dataDxfId="88">
      <calculatedColumnFormula>(1+0.1)^-2</calculatedColumnFormula>
    </tableColumn>
    <tableColumn id="5" xr3:uid="{3E068FAA-2C78-46AA-B6A1-83DE3101AA1C}" name="År 3" dataDxfId="87">
      <calculatedColumnFormula>(1+0.1)^-3</calculatedColumnFormula>
    </tableColumn>
    <tableColumn id="6" xr3:uid="{29B9EF88-3DAB-4B60-87BE-7B9A2911B469}" name="År 4" dataDxfId="86">
      <calculatedColumnFormula>(1+0.1)^-4</calculatedColumnFormula>
    </tableColumn>
    <tableColumn id="7" xr3:uid="{0288C510-61EC-467A-A50F-16E7FE172390}" name="År 5" dataDxfId="85">
      <calculatedColumnFormula>(1+0.1)^-5</calculatedColumnFormula>
    </tableColumn>
    <tableColumn id="8" xr3:uid="{FA7B2F70-E67A-4A2B-9180-00113BDC5A9E}" name="År 6" dataDxfId="84">
      <calculatedColumnFormula>(1+0.1)^-6</calculatedColumnFormula>
    </tableColumn>
    <tableColumn id="9" xr3:uid="{3857D61F-9682-44D3-A329-B0A5FFDB98B6}" name="År 7" dataDxfId="83">
      <calculatedColumnFormula>(1+0.1)^-7</calculatedColumnFormula>
    </tableColumn>
    <tableColumn id="10" xr3:uid="{DF36FAA3-9B09-4892-B39D-46AE13D45CE4}" name="År 8" dataDxfId="82">
      <calculatedColumnFormula>(1+0.1)^-8</calculatedColumnFormula>
    </tableColumn>
    <tableColumn id="24" xr3:uid="{F9A30EEA-AE66-40EE-9B78-C4617383000D}" name="År 9" dataDxfId="81">
      <calculatedColumnFormula>(1+0.08)^-9</calculatedColumnFormula>
    </tableColumn>
    <tableColumn id="25" xr3:uid="{9BA31FAF-A9CD-40A6-BC74-9A347C1A2D59}" name="År 10" dataDxfId="80">
      <calculatedColumnFormula>(1+0.08)^-10</calculatedColumnFormula>
    </tableColumn>
    <tableColumn id="11" xr3:uid="{82C68815-C263-416B-8C9A-A97075CE07AA}" name="År 11" dataDxfId="79"/>
    <tableColumn id="12" xr3:uid="{4E698D45-CAA5-435B-8CC9-C83B5D260AD8}" name="År 12" dataDxfId="78"/>
    <tableColumn id="13" xr3:uid="{3A3AAB8E-14F5-4A2C-B375-D8BD8BB4E075}" name="År 13" dataDxfId="77"/>
    <tableColumn id="14" xr3:uid="{CB9F21A1-2EF2-4452-AC80-EB884A3558EC}" name="År 14" dataDxfId="76"/>
    <tableColumn id="15" xr3:uid="{01C9AB43-A5F5-4511-B8BE-D5DC9C4FBAEB}" name="År 15" dataDxfId="75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25FA59D-A1EC-48EB-9595-A4410C7EA146}" name="Tabell258910456" displayName="Tabell258910456" ref="A1:Q26" totalsRowShown="0">
  <autoFilter ref="A1:Q26" xr:uid="{93BF1AA6-6ED1-4310-A8C3-84D91BF4AFED}"/>
  <tableColumns count="17">
    <tableColumn id="1" xr3:uid="{B9579EA6-D02B-4C81-BD09-34A87BC41EC6}" name="Kalkylram"/>
    <tableColumn id="2" xr3:uid="{4C4172C3-F038-4C84-BB0D-321893015420}" name=" "/>
    <tableColumn id="3" xr3:uid="{A7247273-A5DA-40C7-AA96-A39A3E5DA917}" name="År 1" dataDxfId="74">
      <calculatedColumnFormula>(1+0.1)^-1</calculatedColumnFormula>
    </tableColumn>
    <tableColumn id="4" xr3:uid="{966EDDB1-E8D3-4A13-9A12-00722DA11E59}" name="År 2" dataDxfId="73">
      <calculatedColumnFormula>(1+0.1)^-2</calculatedColumnFormula>
    </tableColumn>
    <tableColumn id="5" xr3:uid="{A90A63A0-5EF7-469F-BA86-10E547E97BEA}" name="År 3" dataDxfId="72">
      <calculatedColumnFormula>(1+0.1)^-3</calculatedColumnFormula>
    </tableColumn>
    <tableColumn id="6" xr3:uid="{8E8D3920-8F99-411E-A1E8-E0276D0A3BA0}" name="År 4" dataDxfId="71">
      <calculatedColumnFormula>(1+0.1)^-4</calculatedColumnFormula>
    </tableColumn>
    <tableColumn id="7" xr3:uid="{395E3032-36ED-4AC5-9D51-E50818A43006}" name="År 5" dataDxfId="70">
      <calculatedColumnFormula>(1+0.1)^-5</calculatedColumnFormula>
    </tableColumn>
    <tableColumn id="8" xr3:uid="{38675467-DAC9-4D32-8272-DA8E5A4A3A1C}" name="År 6" dataDxfId="69">
      <calculatedColumnFormula>(1+0.1)^-6</calculatedColumnFormula>
    </tableColumn>
    <tableColumn id="9" xr3:uid="{EC43F985-5C7A-4C9B-9A5B-894DEF13EE2D}" name="År 7" dataDxfId="68">
      <calculatedColumnFormula>(1+0.1)^-7</calculatedColumnFormula>
    </tableColumn>
    <tableColumn id="10" xr3:uid="{B14CF9BA-3822-4809-85A5-AD1BA6D82367}" name="År 8" dataDxfId="67">
      <calculatedColumnFormula>(1+0.1)^-8</calculatedColumnFormula>
    </tableColumn>
    <tableColumn id="24" xr3:uid="{0A867705-3A75-4A5C-86C6-315976F27DDD}" name="År 9" dataDxfId="66">
      <calculatedColumnFormula>(1+0.08)^-9</calculatedColumnFormula>
    </tableColumn>
    <tableColumn id="25" xr3:uid="{420636A7-1B8F-4FDE-90AD-2072A9EDA62F}" name="År 10" dataDxfId="65">
      <calculatedColumnFormula>(1+0.08)^-10</calculatedColumnFormula>
    </tableColumn>
    <tableColumn id="11" xr3:uid="{626581D3-3184-4225-91D9-6D65EEBD392E}" name="År 11" dataDxfId="64"/>
    <tableColumn id="12" xr3:uid="{DCB7019C-7DA8-4A35-A6F4-45B57A42EDD1}" name="År 12" dataDxfId="63"/>
    <tableColumn id="13" xr3:uid="{B819AD5A-2694-4A3A-B38E-CC93F384732C}" name="År 13" dataDxfId="62"/>
    <tableColumn id="14" xr3:uid="{CCA7DD77-729C-45E4-BB95-815CFC460720}" name="År 14" dataDxfId="61"/>
    <tableColumn id="15" xr3:uid="{5048CA90-A9F4-4230-94F3-E50D59B60EE2}" name="År 15" dataDxfId="6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549677E-691A-4BE0-8B49-8CD6E6D9679E}" name="Tabell2589104567" displayName="Tabell2589104567" ref="A1:Q26" totalsRowShown="0">
  <autoFilter ref="A1:Q26" xr:uid="{93BF1AA6-6ED1-4310-A8C3-84D91BF4AFED}"/>
  <tableColumns count="17">
    <tableColumn id="1" xr3:uid="{266CAEC3-EC99-47B0-B84E-D67A6BC767E3}" name="Kalkylram"/>
    <tableColumn id="2" xr3:uid="{AB6F552B-1246-4E8A-9B0D-165764366EAE}" name=" "/>
    <tableColumn id="3" xr3:uid="{7EA81D1D-B007-461D-8604-849FB44F6C00}" name="År 1" dataDxfId="59">
      <calculatedColumnFormula>(1+0.1)^-1</calculatedColumnFormula>
    </tableColumn>
    <tableColumn id="4" xr3:uid="{96073E57-5FB5-4598-8AC0-AA12C407E5DB}" name="År 2" dataDxfId="58">
      <calculatedColumnFormula>(1+0.1)^-2</calculatedColumnFormula>
    </tableColumn>
    <tableColumn id="5" xr3:uid="{8E538CE4-45D1-4A11-A9DC-09C383BDA708}" name="År 3" dataDxfId="57">
      <calculatedColumnFormula>(1+0.1)^-3</calculatedColumnFormula>
    </tableColumn>
    <tableColumn id="6" xr3:uid="{FDD5B49C-7AA4-444F-BED2-A4CDDFBE132C}" name="År 4" dataDxfId="56">
      <calculatedColumnFormula>(1+0.1)^-4</calculatedColumnFormula>
    </tableColumn>
    <tableColumn id="7" xr3:uid="{0A809AFE-323F-491E-906B-8028463D32B1}" name="År 5" dataDxfId="55">
      <calculatedColumnFormula>(1+0.1)^-5</calculatedColumnFormula>
    </tableColumn>
    <tableColumn id="8" xr3:uid="{891DC4FA-870A-47A4-95A1-34B085818868}" name="År 6" dataDxfId="54">
      <calculatedColumnFormula>(1+0.1)^-6</calculatedColumnFormula>
    </tableColumn>
    <tableColumn id="9" xr3:uid="{7FA792D0-6E15-481D-809F-B28E1EEF5850}" name="År 7" dataDxfId="53">
      <calculatedColumnFormula>(1+0.1)^-7</calculatedColumnFormula>
    </tableColumn>
    <tableColumn id="10" xr3:uid="{F6101AD8-4BEA-4560-8468-3EEFAF3858CA}" name="År 8" dataDxfId="52">
      <calculatedColumnFormula>(1+0.1)^-8</calculatedColumnFormula>
    </tableColumn>
    <tableColumn id="24" xr3:uid="{3F798995-FCBE-4B3E-84DC-A3A3D1DE7AFC}" name="År 9" dataDxfId="51">
      <calculatedColumnFormula>(1+0.08)^-9</calculatedColumnFormula>
    </tableColumn>
    <tableColumn id="25" xr3:uid="{4FE67A6D-2DC6-415D-B8AF-14FAFBF1C18F}" name="År 10" dataDxfId="50">
      <calculatedColumnFormula>(1+0.08)^-10</calculatedColumnFormula>
    </tableColumn>
    <tableColumn id="11" xr3:uid="{19FEAEB9-8395-4716-A6D8-DD7561AFB639}" name="År 11" dataDxfId="49"/>
    <tableColumn id="12" xr3:uid="{E232DEB0-56B8-4336-926C-E097211DBC28}" name="År 12" dataDxfId="48"/>
    <tableColumn id="13" xr3:uid="{FBB158D0-757D-40FB-A5AE-9E8AEED14832}" name="År 13" dataDxfId="47"/>
    <tableColumn id="14" xr3:uid="{FBFD8E0E-487F-49CA-8E23-08BB2370B282}" name="År 14" dataDxfId="46"/>
    <tableColumn id="15" xr3:uid="{4712CA65-7BA5-413C-88CD-40A9ADC837AD}" name="År 15" dataDxfId="45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F070A972-B989-42B2-BF69-A42FF2E4362B}" name="Tabell258910456910" displayName="Tabell258910456910" ref="A1:Q26" totalsRowShown="0">
  <autoFilter ref="A1:Q26" xr:uid="{93BF1AA6-6ED1-4310-A8C3-84D91BF4AFED}"/>
  <tableColumns count="17">
    <tableColumn id="1" xr3:uid="{65D213F9-E88B-451C-BC91-C97E9CA57889}" name="Kalkylram"/>
    <tableColumn id="2" xr3:uid="{2DF99288-CAB0-4DFF-8DE1-4B0E173B6A9E}" name=" "/>
    <tableColumn id="3" xr3:uid="{6647834B-B1A4-4ABA-B3ED-2A379152AA47}" name="År 1" dataDxfId="44">
      <calculatedColumnFormula>(1+0.1)^-1</calculatedColumnFormula>
    </tableColumn>
    <tableColumn id="4" xr3:uid="{DC07AFDA-BCAC-471B-BE77-7E84B10D4C4B}" name="År 2" dataDxfId="43">
      <calculatedColumnFormula>(1+0.1)^-2</calculatedColumnFormula>
    </tableColumn>
    <tableColumn id="5" xr3:uid="{AE155FD5-8D5F-4B0D-B919-440128BBE18E}" name="År 3" dataDxfId="42">
      <calculatedColumnFormula>(1+0.1)^-3</calculatedColumnFormula>
    </tableColumn>
    <tableColumn id="6" xr3:uid="{8309AE1F-4ED8-417E-8877-5808826B6D77}" name="År 4" dataDxfId="41">
      <calculatedColumnFormula>(1+0.1)^-4</calculatedColumnFormula>
    </tableColumn>
    <tableColumn id="7" xr3:uid="{01EC8DB0-A636-4B4E-AD65-D28B57376866}" name="År 5" dataDxfId="40">
      <calculatedColumnFormula>(1+0.1)^-5</calculatedColumnFormula>
    </tableColumn>
    <tableColumn id="8" xr3:uid="{095C781D-793E-4BF8-B29A-19A246735276}" name="År 6" dataDxfId="39">
      <calculatedColumnFormula>(1+0.1)^-6</calculatedColumnFormula>
    </tableColumn>
    <tableColumn id="9" xr3:uid="{42BA515C-20FA-497F-9531-A832C5BD4692}" name="År 7" dataDxfId="38">
      <calculatedColumnFormula>(1+0.1)^-7</calculatedColumnFormula>
    </tableColumn>
    <tableColumn id="10" xr3:uid="{FD2487CA-7AAC-45CD-87F1-392B06B06474}" name="År 8" dataDxfId="37">
      <calculatedColumnFormula>(1+0.1)^-8</calculatedColumnFormula>
    </tableColumn>
    <tableColumn id="24" xr3:uid="{398E65A6-F2B2-4207-8B38-57656ABC5FB8}" name="År 9" dataDxfId="36">
      <calculatedColumnFormula>(1+0.08)^-9</calculatedColumnFormula>
    </tableColumn>
    <tableColumn id="25" xr3:uid="{C0BE47AA-C18D-4D38-A776-32C42A3AF686}" name="År 10" dataDxfId="35">
      <calculatedColumnFormula>(1+0.08)^-10</calculatedColumnFormula>
    </tableColumn>
    <tableColumn id="11" xr3:uid="{8CB136CB-2ED1-4DFA-9C71-73258BD3DA4C}" name="År 11" dataDxfId="34"/>
    <tableColumn id="12" xr3:uid="{C237332E-09B7-4B00-8CF6-098216878BD2}" name="År 12" dataDxfId="33"/>
    <tableColumn id="13" xr3:uid="{E0352E99-6F36-4976-95B4-A427D94EC8C1}" name="År 13" dataDxfId="32"/>
    <tableColumn id="14" xr3:uid="{6473C585-71CF-45B4-8746-0BEBA69C9BC3}" name="År 14" dataDxfId="31"/>
    <tableColumn id="15" xr3:uid="{2152BAB1-D56C-471E-B06F-6B2183E2E76F}" name="År 15" dataDxfId="30"/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5EB791B-08EE-4D92-B878-9F023F40201F}" name="Tabell2589104569" displayName="Tabell2589104569" ref="A1:Q26" totalsRowShown="0">
  <autoFilter ref="A1:Q26" xr:uid="{93BF1AA6-6ED1-4310-A8C3-84D91BF4AFED}"/>
  <tableColumns count="17">
    <tableColumn id="1" xr3:uid="{4D54AD5F-275B-4022-8E83-C57D8B67EAD9}" name="Kalkylram"/>
    <tableColumn id="2" xr3:uid="{A8682802-8CA5-44D5-9CF4-EDAD16A49EA8}" name=" "/>
    <tableColumn id="3" xr3:uid="{4865C059-808D-4638-91AA-D1F9CD751F7C}" name="År 1" dataDxfId="29">
      <calculatedColumnFormula>(1+0.1)^-1</calculatedColumnFormula>
    </tableColumn>
    <tableColumn id="4" xr3:uid="{150DF594-9B37-4A98-806E-B13CF25E2A61}" name="År 2" dataDxfId="28">
      <calculatedColumnFormula>(1+0.1)^-2</calculatedColumnFormula>
    </tableColumn>
    <tableColumn id="5" xr3:uid="{9AEA8E91-C6C1-4466-AF12-02E2F0EAA716}" name="År 3" dataDxfId="27">
      <calculatedColumnFormula>(1+0.1)^-3</calculatedColumnFormula>
    </tableColumn>
    <tableColumn id="6" xr3:uid="{2E2EAB83-9EFD-4FE5-91BE-E1382601D889}" name="År 4" dataDxfId="26">
      <calculatedColumnFormula>(1+0.1)^-4</calculatedColumnFormula>
    </tableColumn>
    <tableColumn id="7" xr3:uid="{E6DAEF0F-1E42-4CB4-B0BA-AA8B6EDA5FEB}" name="År 5" dataDxfId="25">
      <calculatedColumnFormula>(1+0.1)^-5</calculatedColumnFormula>
    </tableColumn>
    <tableColumn id="8" xr3:uid="{FF7EBD38-4C7A-43FB-8EC7-E7768623A96A}" name="År 6" dataDxfId="24">
      <calculatedColumnFormula>(1+0.1)^-6</calculatedColumnFormula>
    </tableColumn>
    <tableColumn id="9" xr3:uid="{FD875A26-87EC-41C5-9A15-AECDF5A435A3}" name="År 7" dataDxfId="23">
      <calculatedColumnFormula>(1+0.1)^-7</calculatedColumnFormula>
    </tableColumn>
    <tableColumn id="10" xr3:uid="{9B3260DC-5436-464A-8C3F-DA3B94459B13}" name="År 8" dataDxfId="22">
      <calculatedColumnFormula>(1+0.1)^-8</calculatedColumnFormula>
    </tableColumn>
    <tableColumn id="24" xr3:uid="{BA0E67F0-C968-4467-A068-A2740CE11FD0}" name="År 9" dataDxfId="21">
      <calculatedColumnFormula>(1+0.08)^-9</calculatedColumnFormula>
    </tableColumn>
    <tableColumn id="25" xr3:uid="{7360705D-D3B1-4174-BBB1-58176AEBE7E4}" name="År 10" dataDxfId="20">
      <calculatedColumnFormula>(1+0.08)^-10</calculatedColumnFormula>
    </tableColumn>
    <tableColumn id="11" xr3:uid="{B5E7D61C-3E5F-4C5F-90DA-87485C0071D7}" name="År 11" dataDxfId="19"/>
    <tableColumn id="12" xr3:uid="{7DA193E3-36F3-4BA8-81E5-8397E74D5460}" name="År 12" dataDxfId="18"/>
    <tableColumn id="13" xr3:uid="{CD1797A5-B094-4181-9AB8-27C65D99E8C0}" name="År 13" dataDxfId="17"/>
    <tableColumn id="14" xr3:uid="{34095262-C917-45EC-A27E-4354C3C72BF5}" name="År 14" dataDxfId="16"/>
    <tableColumn id="15" xr3:uid="{A130C29B-DEFC-4C05-8E1B-705CD61C1A27}" name="År 15" dataDxfId="15"/>
  </tableColumns>
  <tableStyleInfo name="TableStyleMedium3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E2124C2-1120-4201-95CE-8D3FD6589D60}" name="Tabell258910456911" displayName="Tabell258910456911" ref="A1:Q26" totalsRowShown="0">
  <autoFilter ref="A1:Q26" xr:uid="{93BF1AA6-6ED1-4310-A8C3-84D91BF4AFED}"/>
  <tableColumns count="17">
    <tableColumn id="1" xr3:uid="{E04BEBE8-2042-4CA2-BABD-F978BFB28E78}" name="Kalkylram"/>
    <tableColumn id="2" xr3:uid="{016125E6-F17D-48DD-AA8E-B6BAF4EC5110}" name=" "/>
    <tableColumn id="3" xr3:uid="{EB9B4EF2-2F33-48E1-AAE6-B64FA7E680B8}" name="År 1" dataDxfId="14">
      <calculatedColumnFormula>(1+0.1)^-1</calculatedColumnFormula>
    </tableColumn>
    <tableColumn id="4" xr3:uid="{7C7C7268-9620-4A66-8383-404369E0F236}" name="År 2" dataDxfId="13">
      <calculatedColumnFormula>(1+0.1)^-2</calculatedColumnFormula>
    </tableColumn>
    <tableColumn id="5" xr3:uid="{00786389-0ABF-49B0-8CBC-3313E66DDAFE}" name="År 3" dataDxfId="12">
      <calculatedColumnFormula>(1+0.1)^-3</calculatedColumnFormula>
    </tableColumn>
    <tableColumn id="6" xr3:uid="{B1362402-C057-4726-82E7-197A6D5E0229}" name="År 4" dataDxfId="11">
      <calculatedColumnFormula>(1+0.1)^-4</calculatedColumnFormula>
    </tableColumn>
    <tableColumn id="7" xr3:uid="{F6687F4D-EFDC-4024-923E-2F1689413D5C}" name="År 5" dataDxfId="10">
      <calculatedColumnFormula>(1+0.1)^-5</calculatedColumnFormula>
    </tableColumn>
    <tableColumn id="8" xr3:uid="{7FF84E7B-BC3B-4F21-B1DE-8B8AC0BC3E70}" name="År 6" dataDxfId="9">
      <calculatedColumnFormula>(1+0.1)^-6</calculatedColumnFormula>
    </tableColumn>
    <tableColumn id="9" xr3:uid="{458E8CFE-6227-4344-9691-42D7DEABA1B2}" name="År 7" dataDxfId="8">
      <calculatedColumnFormula>(1+0.1)^-7</calculatedColumnFormula>
    </tableColumn>
    <tableColumn id="10" xr3:uid="{9C77E20F-46FD-4880-BA58-2D36A91E4F8D}" name="År 8" dataDxfId="7">
      <calculatedColumnFormula>(1+0.1)^-8</calculatedColumnFormula>
    </tableColumn>
    <tableColumn id="24" xr3:uid="{E86DA4AD-84FC-4EE2-BF0D-C3E7EDA288A5}" name="År 9" dataDxfId="6">
      <calculatedColumnFormula>(1+0.08)^-9</calculatedColumnFormula>
    </tableColumn>
    <tableColumn id="25" xr3:uid="{AF495C3F-F7E9-4DB3-B7F4-9EC3F92BC5F4}" name="År 10" dataDxfId="5">
      <calculatedColumnFormula>(1+0.08)^-10</calculatedColumnFormula>
    </tableColumn>
    <tableColumn id="11" xr3:uid="{DECA4AD5-F2E9-4226-A682-E72BBA17C6E4}" name="År 11" dataDxfId="4"/>
    <tableColumn id="12" xr3:uid="{00EFC5C9-7DCA-4F5C-BF70-2F909FBED935}" name="År 12" dataDxfId="3"/>
    <tableColumn id="13" xr3:uid="{9D5CD54D-D6D8-43ED-972C-47D87423ABB2}" name="År 13" dataDxfId="2"/>
    <tableColumn id="14" xr3:uid="{65231003-A8C4-44DF-BA62-0AC8526A40F4}" name="År 14" dataDxfId="1"/>
    <tableColumn id="15" xr3:uid="{59629952-80D1-4FD4-BD62-5EBB0DF50585}" name="År 15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B8640-E86C-4B29-BDDB-C90D225C7BEF}">
  <sheetPr>
    <tabColor theme="9"/>
  </sheetPr>
  <dimension ref="A1:Q26"/>
  <sheetViews>
    <sheetView topLeftCell="A4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7" x14ac:dyDescent="0.35">
      <c r="A3" s="3" t="s">
        <v>19</v>
      </c>
      <c r="B3" s="4" t="s">
        <v>39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7" x14ac:dyDescent="0.35">
      <c r="A7" t="s">
        <v>22</v>
      </c>
      <c r="B7" s="7">
        <v>892500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7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Tabell2589104[[#This Row],[År 1]]*1.01</f>
        <v>60659.590000000011</v>
      </c>
      <c r="E9" s="8">
        <f>Tabell2589104[[#This Row],[År 2]]*1.01</f>
        <v>61266.185900000011</v>
      </c>
      <c r="F9" s="8">
        <f>Tabell2589104[[#This Row],[År 3]]*1.01</f>
        <v>61878.847759000011</v>
      </c>
      <c r="G9" s="8">
        <f>Tabell2589104[[#This Row],[År 4]]*1.01</f>
        <v>62497.636236590013</v>
      </c>
      <c r="H9" s="8">
        <f>Tabell2589104[[#This Row],[År 5]]*1.01</f>
        <v>63122.612598955915</v>
      </c>
      <c r="I9" s="8">
        <f>Tabell2589104[[#This Row],[År 6]]*1.01</f>
        <v>63753.838724945475</v>
      </c>
      <c r="J9" s="8">
        <f>Tabell2589104[[#This Row],[År 7]]*1.01</f>
        <v>64391.377112194932</v>
      </c>
      <c r="K9" s="8">
        <f>Tabell2589104[[#This Row],[År 8]]*1.01</f>
        <v>65035.290883316884</v>
      </c>
      <c r="L9" s="8">
        <f>Tabell2589104[[#This Row],[År 9]]*1.01</f>
        <v>65685.643792150047</v>
      </c>
      <c r="M9" s="8">
        <f>Tabell2589104[[#This Row],[År 10]]*1.01</f>
        <v>66342.500230071542</v>
      </c>
      <c r="N9" s="8">
        <f>Tabell2589104[[#This Row],[År 11]]*1.01</f>
        <v>67005.925232372261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N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/>
      <c r="P11" s="2"/>
      <c r="Q11" s="2"/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</row>
    <row r="13" spans="1:17" x14ac:dyDescent="0.35">
      <c r="A13" t="s">
        <v>27</v>
      </c>
      <c r="C13" s="8">
        <f>(C10+C9+C8)*(1-C11)-C12</f>
        <v>124059.01999999999</v>
      </c>
      <c r="D13" s="8">
        <f t="shared" ref="D13:N13" si="1">(D10+D9+D8)*(1-D11)-D12</f>
        <v>122217.63519999999</v>
      </c>
      <c r="E13" s="8">
        <f t="shared" si="1"/>
        <v>120346.34421000001</v>
      </c>
      <c r="F13" s="8">
        <f t="shared" si="1"/>
        <v>118444.38950532002</v>
      </c>
      <c r="G13" s="8">
        <f t="shared" si="1"/>
        <v>116510.99581134701</v>
      </c>
      <c r="H13" s="8">
        <f t="shared" si="1"/>
        <v>114545.36969030145</v>
      </c>
      <c r="I13" s="8">
        <f t="shared" si="1"/>
        <v>112546.69911839033</v>
      </c>
      <c r="J13" s="8">
        <f t="shared" si="1"/>
        <v>110514.15305312541</v>
      </c>
      <c r="K13" s="8">
        <f t="shared" si="1"/>
        <v>108446.88099057775</v>
      </c>
      <c r="L13" s="8">
        <f t="shared" si="1"/>
        <v>106344.01251233765</v>
      </c>
      <c r="M13" s="8">
        <f t="shared" si="1"/>
        <v>104204.65682194101</v>
      </c>
      <c r="N13" s="8">
        <f t="shared" si="1"/>
        <v>102027.90227051899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</row>
    <row r="18" spans="1:14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35">
      <c r="A19" t="s">
        <v>31</v>
      </c>
      <c r="C19" s="8">
        <f t="shared" ref="C19:N19" si="4">C13*C17</f>
        <v>117036.8113207547</v>
      </c>
      <c r="D19" s="8">
        <f t="shared" si="4"/>
        <v>108773.26023495903</v>
      </c>
      <c r="E19" s="8">
        <f t="shared" si="4"/>
        <v>101045.1112411588</v>
      </c>
      <c r="F19" s="8">
        <f t="shared" si="4"/>
        <v>93819.050373259888</v>
      </c>
      <c r="G19" s="8">
        <f t="shared" si="4"/>
        <v>87063.793848791975</v>
      </c>
      <c r="H19" s="8">
        <f t="shared" si="4"/>
        <v>80749.965721737419</v>
      </c>
      <c r="I19" s="8">
        <f t="shared" si="4"/>
        <v>74849.982863398182</v>
      </c>
      <c r="J19" s="8">
        <f t="shared" si="4"/>
        <v>69337.946833894966</v>
      </c>
      <c r="K19" s="8">
        <f t="shared" si="4"/>
        <v>64189.542232946435</v>
      </c>
      <c r="L19" s="8">
        <f t="shared" si="4"/>
        <v>59381.941143085285</v>
      </c>
      <c r="M19" s="8">
        <f t="shared" si="4"/>
        <v>54893.713301513359</v>
      </c>
      <c r="N19" s="8">
        <f t="shared" si="4"/>
        <v>50704.741658476225</v>
      </c>
    </row>
    <row r="20" spans="1:14" x14ac:dyDescent="0.35">
      <c r="A20" t="s">
        <v>32</v>
      </c>
      <c r="B20" s="8">
        <f>SUM(C19:N19)</f>
        <v>961845.86077397619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x14ac:dyDescent="0.35">
      <c r="A24" t="s">
        <v>34</v>
      </c>
      <c r="B24" s="8">
        <f>B20</f>
        <v>961845.86077397619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x14ac:dyDescent="0.35">
      <c r="A25" s="3" t="s">
        <v>30</v>
      </c>
      <c r="B25" s="3">
        <f>B7</f>
        <v>892500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x14ac:dyDescent="0.35">
      <c r="A26" s="9" t="s">
        <v>35</v>
      </c>
      <c r="B26" s="10">
        <f>B24-B25</f>
        <v>69345.860773976194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5909F-C83B-43FE-9DFE-577FDC839494}">
  <sheetPr>
    <tabColor theme="9"/>
  </sheetPr>
  <dimension ref="A1:Q26"/>
  <sheetViews>
    <sheetView topLeftCell="A4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5">
      <c r="A3" s="3" t="s">
        <v>19</v>
      </c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t="s">
        <v>22</v>
      </c>
      <c r="B7" s="7">
        <v>892500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  <c r="O8" s="8">
        <v>59751</v>
      </c>
      <c r="P8" s="8">
        <v>59751</v>
      </c>
      <c r="Q8" s="8"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Tabell25891045[[#This Row],[År 1]]*1.01</f>
        <v>60659.590000000011</v>
      </c>
      <c r="E9" s="8">
        <f>Tabell25891045[[#This Row],[År 2]]*1.01</f>
        <v>61266.185900000011</v>
      </c>
      <c r="F9" s="8">
        <f>Tabell25891045[[#This Row],[År 3]]*1.01</f>
        <v>61878.847759000011</v>
      </c>
      <c r="G9" s="8">
        <f>Tabell25891045[[#This Row],[År 4]]*1.01</f>
        <v>62497.636236590013</v>
      </c>
      <c r="H9" s="8">
        <f>Tabell25891045[[#This Row],[År 5]]*1.01</f>
        <v>63122.612598955915</v>
      </c>
      <c r="I9" s="8">
        <f>Tabell25891045[[#This Row],[År 6]]*1.01</f>
        <v>63753.838724945475</v>
      </c>
      <c r="J9" s="8">
        <f>Tabell25891045[[#This Row],[År 7]]*1.01</f>
        <v>64391.377112194932</v>
      </c>
      <c r="K9" s="8">
        <f>Tabell25891045[[#This Row],[År 8]]*1.01</f>
        <v>65035.290883316884</v>
      </c>
      <c r="L9" s="8">
        <f>Tabell25891045[[#This Row],[År 9]]*1.01</f>
        <v>65685.643792150047</v>
      </c>
      <c r="M9" s="8">
        <f>Tabell25891045[[#This Row],[År 10]]*1.01</f>
        <v>66342.500230071542</v>
      </c>
      <c r="N9" s="8">
        <f>Tabell25891045[[#This Row],[År 11]]*1.01</f>
        <v>67005.925232372261</v>
      </c>
      <c r="O9" s="8">
        <f>Tabell25891045[[#This Row],[År 12]]*1.01</f>
        <v>67675.98448469599</v>
      </c>
      <c r="P9" s="8">
        <f>Tabell25891045[[#This Row],[År 13]]*1.01</f>
        <v>68352.744329542955</v>
      </c>
      <c r="Q9" s="8">
        <f>Tabell25891045[[#This Row],[År 14]]*1.01</f>
        <v>69036.271772838387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Q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>
        <f>[1]!Tabell258910[[#This Row],[År 12]]+0.02</f>
        <v>0.25999999999999995</v>
      </c>
      <c r="P11" s="2">
        <f>[1]!Tabell258910[[#This Row],[År 13]]+0.02</f>
        <v>0.27999999999999997</v>
      </c>
      <c r="Q11" s="2">
        <f>[1]!Tabell258910[[#This Row],[År 14]]+0.02</f>
        <v>0.3</v>
      </c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</row>
    <row r="13" spans="1:17" x14ac:dyDescent="0.35">
      <c r="A13" t="s">
        <v>27</v>
      </c>
      <c r="C13" s="8">
        <f>(C10+C9+C8)*(1-C11)-C12</f>
        <v>124059.01999999999</v>
      </c>
      <c r="D13" s="8">
        <f t="shared" ref="D13:Q13" si="1">(D10+D9+D8)*(1-D11)-D12</f>
        <v>122217.63519999999</v>
      </c>
      <c r="E13" s="8">
        <f t="shared" si="1"/>
        <v>120346.34421000001</v>
      </c>
      <c r="F13" s="8">
        <f t="shared" si="1"/>
        <v>118444.38950532002</v>
      </c>
      <c r="G13" s="8">
        <f t="shared" si="1"/>
        <v>116510.99581134701</v>
      </c>
      <c r="H13" s="8">
        <f t="shared" si="1"/>
        <v>114545.36969030145</v>
      </c>
      <c r="I13" s="8">
        <f t="shared" si="1"/>
        <v>112546.69911839033</v>
      </c>
      <c r="J13" s="8">
        <f t="shared" si="1"/>
        <v>110514.15305312541</v>
      </c>
      <c r="K13" s="8">
        <f t="shared" si="1"/>
        <v>108446.88099057775</v>
      </c>
      <c r="L13" s="8">
        <f t="shared" si="1"/>
        <v>106344.01251233765</v>
      </c>
      <c r="M13" s="8">
        <f t="shared" si="1"/>
        <v>104204.65682194101</v>
      </c>
      <c r="N13" s="8">
        <f t="shared" si="1"/>
        <v>102027.90227051899</v>
      </c>
      <c r="O13" s="8">
        <f t="shared" si="1"/>
        <v>99812.815871422194</v>
      </c>
      <c r="P13" s="8">
        <f t="shared" si="1"/>
        <v>97558.442803564874</v>
      </c>
      <c r="Q13" s="8">
        <f t="shared" si="1"/>
        <v>95263.805903228364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</row>
    <row r="18" spans="1:17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t="s">
        <v>31</v>
      </c>
      <c r="C19" s="8">
        <f t="shared" ref="C19:Q19" si="7">C13*C17</f>
        <v>117036.8113207547</v>
      </c>
      <c r="D19" s="8">
        <f t="shared" si="7"/>
        <v>108773.26023495903</v>
      </c>
      <c r="E19" s="8">
        <f t="shared" si="7"/>
        <v>101045.1112411588</v>
      </c>
      <c r="F19" s="8">
        <f t="shared" si="7"/>
        <v>93819.050373259888</v>
      </c>
      <c r="G19" s="8">
        <f t="shared" si="7"/>
        <v>87063.793848791975</v>
      </c>
      <c r="H19" s="8">
        <f t="shared" si="7"/>
        <v>80749.965721737419</v>
      </c>
      <c r="I19" s="8">
        <f t="shared" si="7"/>
        <v>74849.982863398182</v>
      </c>
      <c r="J19" s="8">
        <f t="shared" si="7"/>
        <v>69337.946833894966</v>
      </c>
      <c r="K19" s="8">
        <f t="shared" si="7"/>
        <v>64189.542232946435</v>
      </c>
      <c r="L19" s="8">
        <f t="shared" si="7"/>
        <v>59381.941143085285</v>
      </c>
      <c r="M19" s="8">
        <f t="shared" si="7"/>
        <v>54893.713301513359</v>
      </c>
      <c r="N19" s="8">
        <f t="shared" si="7"/>
        <v>50704.741658476225</v>
      </c>
      <c r="O19" s="8">
        <f t="shared" si="7"/>
        <v>46796.143000423603</v>
      </c>
      <c r="P19" s="8">
        <f t="shared" si="7"/>
        <v>43150.193335395903</v>
      </c>
      <c r="Q19" s="8">
        <f t="shared" si="7"/>
        <v>39750.257756109313</v>
      </c>
    </row>
    <row r="20" spans="1:17" x14ac:dyDescent="0.35">
      <c r="A20" t="s">
        <v>32</v>
      </c>
      <c r="B20" s="8">
        <f>SUM(C19:Q19)</f>
        <v>1091542.454865905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35">
      <c r="A24" t="s">
        <v>34</v>
      </c>
      <c r="B24" s="8">
        <f>B20</f>
        <v>1091542.454865905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3" t="s">
        <v>30</v>
      </c>
      <c r="B25" s="3">
        <f>B7</f>
        <v>892500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9" t="s">
        <v>35</v>
      </c>
      <c r="B26" s="10">
        <f>B24-B25</f>
        <v>199042.45486590499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38E57-6170-4980-88E3-C95289A27A19}">
  <sheetPr>
    <tabColor theme="9"/>
  </sheetPr>
  <dimension ref="A1:T26"/>
  <sheetViews>
    <sheetView topLeftCell="A3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</cols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36</v>
      </c>
      <c r="S1" t="s">
        <v>37</v>
      </c>
      <c r="T1" t="s">
        <v>38</v>
      </c>
    </row>
    <row r="2" spans="1:20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x14ac:dyDescent="0.35">
      <c r="A3" s="3" t="s">
        <v>19</v>
      </c>
      <c r="B3" s="4" t="s">
        <v>40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2"/>
      <c r="S6" s="2"/>
      <c r="T6" s="2"/>
    </row>
    <row r="7" spans="1:20" x14ac:dyDescent="0.35">
      <c r="A7" t="s">
        <v>22</v>
      </c>
      <c r="B7" s="7">
        <v>892500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  <c r="O8" s="8">
        <v>59751</v>
      </c>
      <c r="P8" s="8">
        <v>59751</v>
      </c>
      <c r="Q8" s="8">
        <v>59751</v>
      </c>
      <c r="R8" s="8">
        <v>59751</v>
      </c>
      <c r="S8" s="8">
        <v>59751</v>
      </c>
      <c r="T8" s="8">
        <v>59751</v>
      </c>
    </row>
    <row r="9" spans="1:20" x14ac:dyDescent="0.35">
      <c r="A9" t="s">
        <v>24</v>
      </c>
      <c r="B9" s="7"/>
      <c r="C9" s="8">
        <f>58000*1.09*0.95</f>
        <v>60059.000000000007</v>
      </c>
      <c r="D9" s="8">
        <f>Tabell258910[[#This Row],[År 1]]*1.01</f>
        <v>60659.590000000011</v>
      </c>
      <c r="E9" s="8">
        <f>Tabell258910[[#This Row],[År 2]]*1.01</f>
        <v>61266.185900000011</v>
      </c>
      <c r="F9" s="8">
        <f>Tabell258910[[#This Row],[År 3]]*1.01</f>
        <v>61878.847759000011</v>
      </c>
      <c r="G9" s="8">
        <f>Tabell258910[[#This Row],[År 4]]*1.01</f>
        <v>62497.636236590013</v>
      </c>
      <c r="H9" s="8">
        <f>Tabell258910[[#This Row],[År 5]]*1.01</f>
        <v>63122.612598955915</v>
      </c>
      <c r="I9" s="8">
        <f>Tabell258910[[#This Row],[År 6]]*1.01</f>
        <v>63753.838724945475</v>
      </c>
      <c r="J9" s="8">
        <f>Tabell258910[[#This Row],[År 7]]*1.01</f>
        <v>64391.377112194932</v>
      </c>
      <c r="K9" s="8">
        <f>Tabell258910[[#This Row],[År 8]]*1.01</f>
        <v>65035.290883316884</v>
      </c>
      <c r="L9" s="8">
        <f>Tabell258910[[#This Row],[År 9]]*1.01</f>
        <v>65685.643792150047</v>
      </c>
      <c r="M9" s="8">
        <f>Tabell258910[[#This Row],[År 10]]*1.01</f>
        <v>66342.500230071542</v>
      </c>
      <c r="N9" s="8">
        <f>Tabell258910[[#This Row],[År 11]]*1.01</f>
        <v>67005.925232372261</v>
      </c>
      <c r="O9" s="8">
        <f>Tabell258910[[#This Row],[År 12]]*1.01</f>
        <v>67675.98448469599</v>
      </c>
      <c r="P9" s="8">
        <f>Tabell258910[[#This Row],[År 13]]*1.01</f>
        <v>68352.744329542955</v>
      </c>
      <c r="Q9" s="8">
        <f>Tabell258910[[#This Row],[År 14]]*1.01</f>
        <v>69036.271772838387</v>
      </c>
      <c r="R9" s="8">
        <f>Tabell258910[[#This Row],[År 15]]*1.01</f>
        <v>69726.634490566765</v>
      </c>
      <c r="S9" s="8">
        <f>Tabell258910[[#This Row],[År 16]]*1.01</f>
        <v>70423.900835472436</v>
      </c>
      <c r="T9" s="8">
        <f>Tabell258910[[#This Row],[År 17]]*1.01</f>
        <v>71128.139843827157</v>
      </c>
    </row>
    <row r="10" spans="1:20" x14ac:dyDescent="0.35">
      <c r="A10" t="s">
        <v>25</v>
      </c>
      <c r="C10" s="8">
        <v>27189</v>
      </c>
      <c r="D10" s="8">
        <f>C10*1.02</f>
        <v>27732.78</v>
      </c>
      <c r="E10" s="8">
        <f t="shared" ref="E10:T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  <c r="R10" s="8">
        <f t="shared" si="0"/>
        <v>36592.814250694762</v>
      </c>
      <c r="S10" s="8">
        <f t="shared" si="0"/>
        <v>37324.670535708661</v>
      </c>
      <c r="T10" s="8">
        <f t="shared" si="0"/>
        <v>38071.163946422836</v>
      </c>
    </row>
    <row r="11" spans="1:20" x14ac:dyDescent="0.35">
      <c r="A11" t="s">
        <v>41</v>
      </c>
      <c r="C11" s="2">
        <v>0.02</v>
      </c>
      <c r="D11" s="2">
        <f>Tabell258910[[#This Row],[År 1]]+0.02</f>
        <v>0.04</v>
      </c>
      <c r="E11" s="2">
        <f>Tabell258910[[#This Row],[År 2]]+0.02</f>
        <v>0.06</v>
      </c>
      <c r="F11" s="2">
        <f>Tabell258910[[#This Row],[År 3]]+0.02</f>
        <v>0.08</v>
      </c>
      <c r="G11" s="2">
        <f>Tabell258910[[#This Row],[År 4]]+0.02</f>
        <v>0.1</v>
      </c>
      <c r="H11" s="2">
        <f>Tabell258910[[#This Row],[År 5]]+0.02</f>
        <v>0.12000000000000001</v>
      </c>
      <c r="I11" s="2">
        <f>Tabell258910[[#This Row],[År 6]]+0.02</f>
        <v>0.14000000000000001</v>
      </c>
      <c r="J11" s="2">
        <f>Tabell258910[[#This Row],[År 7]]+0.02</f>
        <v>0.16</v>
      </c>
      <c r="K11" s="2">
        <f>Tabell258910[[#This Row],[År 8]]+0.02</f>
        <v>0.18</v>
      </c>
      <c r="L11" s="2">
        <f>Tabell258910[[#This Row],[År 9]]+0.02</f>
        <v>0.19999999999999998</v>
      </c>
      <c r="M11" s="2">
        <f>Tabell258910[[#This Row],[År 10]]+0.02</f>
        <v>0.21999999999999997</v>
      </c>
      <c r="N11" s="2">
        <f>Tabell258910[[#This Row],[År 11]]+0.02</f>
        <v>0.23999999999999996</v>
      </c>
      <c r="O11" s="2">
        <f>Tabell258910[[#This Row],[År 12]]+0.02</f>
        <v>0.25999999999999995</v>
      </c>
      <c r="P11" s="2">
        <f>Tabell258910[[#This Row],[År 13]]+0.02</f>
        <v>0.27999999999999997</v>
      </c>
      <c r="Q11" s="2">
        <f>Tabell258910[[#This Row],[År 14]]+0.02</f>
        <v>0.3</v>
      </c>
      <c r="R11" s="2">
        <f>Tabell258910[[#This Row],[År 15]]+0.02</f>
        <v>0.32</v>
      </c>
      <c r="S11" s="2">
        <f>Tabell258910[[#This Row],[År 16]]+0.02</f>
        <v>0.34</v>
      </c>
      <c r="T11" s="2">
        <f>Tabell258910[[#This Row],[År 17]]+0.02</f>
        <v>0.36000000000000004</v>
      </c>
    </row>
    <row r="12" spans="1:20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  <c r="R12" s="8">
        <v>20000</v>
      </c>
      <c r="S12" s="8">
        <v>20000</v>
      </c>
      <c r="T12" s="8">
        <v>20000</v>
      </c>
    </row>
    <row r="13" spans="1:20" x14ac:dyDescent="0.35">
      <c r="A13" t="s">
        <v>27</v>
      </c>
      <c r="C13" s="8">
        <f>(C10+C9+C8)*(1-C11)-C12</f>
        <v>124059.01999999999</v>
      </c>
      <c r="D13" s="8">
        <f t="shared" ref="D13:T13" si="1">(D10+D9+D8)*(1-D11)-D12</f>
        <v>122217.63519999999</v>
      </c>
      <c r="E13" s="8">
        <f t="shared" si="1"/>
        <v>120346.34421000001</v>
      </c>
      <c r="F13" s="8">
        <f t="shared" si="1"/>
        <v>118444.38950532002</v>
      </c>
      <c r="G13" s="8">
        <f t="shared" si="1"/>
        <v>116510.99581134701</v>
      </c>
      <c r="H13" s="8">
        <f t="shared" si="1"/>
        <v>114545.36969030145</v>
      </c>
      <c r="I13" s="8">
        <f t="shared" si="1"/>
        <v>112546.69911839033</v>
      </c>
      <c r="J13" s="8">
        <f t="shared" si="1"/>
        <v>110514.15305312541</v>
      </c>
      <c r="K13" s="8">
        <f t="shared" si="1"/>
        <v>108446.88099057775</v>
      </c>
      <c r="L13" s="8">
        <f t="shared" si="1"/>
        <v>106344.01251233765</v>
      </c>
      <c r="M13" s="8">
        <f t="shared" si="1"/>
        <v>104204.65682194101</v>
      </c>
      <c r="N13" s="8">
        <f t="shared" si="1"/>
        <v>102027.90227051899</v>
      </c>
      <c r="O13" s="8">
        <f t="shared" si="1"/>
        <v>99812.815871422194</v>
      </c>
      <c r="P13" s="8">
        <f t="shared" si="1"/>
        <v>97558.442803564874</v>
      </c>
      <c r="Q13" s="8">
        <f t="shared" si="1"/>
        <v>95263.805903228364</v>
      </c>
      <c r="R13" s="8">
        <f t="shared" si="1"/>
        <v>92927.905144057833</v>
      </c>
      <c r="S13" s="8">
        <f t="shared" si="1"/>
        <v>90549.717104979514</v>
      </c>
      <c r="T13" s="8">
        <f t="shared" si="1"/>
        <v>88128.194425759968</v>
      </c>
    </row>
    <row r="14" spans="1:20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2"/>
      <c r="S16" s="2"/>
      <c r="T16" s="2"/>
    </row>
    <row r="17" spans="1:20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  <c r="R17" s="2">
        <f>(1+0.06)^-16</f>
        <v>0.39364628371277405</v>
      </c>
      <c r="S17" s="2">
        <f>(1+0.06)^-17</f>
        <v>0.37136441859695657</v>
      </c>
      <c r="T17" s="2">
        <f>(1+0.06)^-18</f>
        <v>0.35034379112920433</v>
      </c>
    </row>
    <row r="18" spans="1:20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x14ac:dyDescent="0.35">
      <c r="A19" t="s">
        <v>31</v>
      </c>
      <c r="C19" s="8">
        <f t="shared" ref="C19:T19" si="7">C13*C17</f>
        <v>117036.8113207547</v>
      </c>
      <c r="D19" s="8">
        <f t="shared" si="7"/>
        <v>108773.26023495903</v>
      </c>
      <c r="E19" s="8">
        <f t="shared" si="7"/>
        <v>101045.1112411588</v>
      </c>
      <c r="F19" s="8">
        <f t="shared" si="7"/>
        <v>93819.050373259888</v>
      </c>
      <c r="G19" s="8">
        <f t="shared" si="7"/>
        <v>87063.793848791975</v>
      </c>
      <c r="H19" s="8">
        <f t="shared" si="7"/>
        <v>80749.965721737419</v>
      </c>
      <c r="I19" s="8">
        <f t="shared" si="7"/>
        <v>74849.982863398182</v>
      </c>
      <c r="J19" s="8">
        <f t="shared" si="7"/>
        <v>69337.946833894966</v>
      </c>
      <c r="K19" s="8">
        <f t="shared" si="7"/>
        <v>64189.542232946435</v>
      </c>
      <c r="L19" s="8">
        <f t="shared" si="7"/>
        <v>59381.941143085285</v>
      </c>
      <c r="M19" s="8">
        <f t="shared" si="7"/>
        <v>54893.713301513359</v>
      </c>
      <c r="N19" s="8">
        <f t="shared" si="7"/>
        <v>50704.741658476225</v>
      </c>
      <c r="O19" s="8">
        <f t="shared" si="7"/>
        <v>46796.143000423603</v>
      </c>
      <c r="P19" s="8">
        <f t="shared" si="7"/>
        <v>43150.193335395903</v>
      </c>
      <c r="Q19" s="8">
        <f t="shared" si="7"/>
        <v>39750.257756109313</v>
      </c>
      <c r="R19" s="8">
        <f t="shared" si="7"/>
        <v>36580.724513171546</v>
      </c>
      <c r="S19" s="8">
        <f t="shared" si="7"/>
        <v>33626.943046809611</v>
      </c>
      <c r="T19" s="8">
        <f t="shared" si="7"/>
        <v>30875.165740492361</v>
      </c>
    </row>
    <row r="20" spans="1:20" x14ac:dyDescent="0.35">
      <c r="A20" t="s">
        <v>32</v>
      </c>
      <c r="B20" s="8">
        <f>SUM(C19:T19)</f>
        <v>1192625.2881663784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2"/>
      <c r="S23" s="2"/>
      <c r="T23" s="2"/>
    </row>
    <row r="24" spans="1:20" x14ac:dyDescent="0.35">
      <c r="A24" t="s">
        <v>34</v>
      </c>
      <c r="B24" s="8">
        <f>B20</f>
        <v>1192625.2881663784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x14ac:dyDescent="0.35">
      <c r="A25" s="3" t="s">
        <v>30</v>
      </c>
      <c r="B25" s="3">
        <f>B7</f>
        <v>892500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x14ac:dyDescent="0.35">
      <c r="A26" s="9" t="s">
        <v>35</v>
      </c>
      <c r="B26" s="10">
        <f>B24-B25</f>
        <v>300125.28816637839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ECABE-C16E-4DE9-9724-8F84C8B16956}">
  <sheetPr>
    <tabColor rgb="FF00B0F0"/>
  </sheetPr>
  <dimension ref="A1:Q26"/>
  <sheetViews>
    <sheetView topLeftCell="A7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  <col min="2" max="2" width="9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5">
      <c r="A3" s="3" t="s">
        <v>19</v>
      </c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t="s">
        <v>22</v>
      </c>
      <c r="B7" s="7">
        <v>1071000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  <c r="O8" s="8">
        <v>59751</v>
      </c>
      <c r="P8" s="8">
        <v>59751</v>
      </c>
      <c r="Q8" s="8"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Tabell2589104568[[#This Row],[År 1]]*1.01</f>
        <v>60659.590000000011</v>
      </c>
      <c r="E9" s="8">
        <f>Tabell2589104568[[#This Row],[År 2]]*1.01</f>
        <v>61266.185900000011</v>
      </c>
      <c r="F9" s="8">
        <f>Tabell2589104568[[#This Row],[År 3]]*1.01</f>
        <v>61878.847759000011</v>
      </c>
      <c r="G9" s="8">
        <f>Tabell2589104568[[#This Row],[År 4]]*1.01</f>
        <v>62497.636236590013</v>
      </c>
      <c r="H9" s="8">
        <f>Tabell2589104568[[#This Row],[År 5]]*1.01</f>
        <v>63122.612598955915</v>
      </c>
      <c r="I9" s="8">
        <f>Tabell2589104568[[#This Row],[År 6]]*1.01</f>
        <v>63753.838724945475</v>
      </c>
      <c r="J9" s="8">
        <f>Tabell2589104568[[#This Row],[År 7]]*1.01</f>
        <v>64391.377112194932</v>
      </c>
      <c r="K9" s="8">
        <f>Tabell2589104568[[#This Row],[År 8]]*1.01</f>
        <v>65035.290883316884</v>
      </c>
      <c r="L9" s="8">
        <f>Tabell2589104568[[#This Row],[År 9]]*1.01</f>
        <v>65685.643792150047</v>
      </c>
      <c r="M9" s="8">
        <f>Tabell2589104568[[#This Row],[År 10]]*1.01</f>
        <v>66342.500230071542</v>
      </c>
      <c r="N9" s="8">
        <f>Tabell2589104568[[#This Row],[År 11]]*1.01</f>
        <v>67005.925232372261</v>
      </c>
      <c r="O9" s="8">
        <f>Tabell2589104568[[#This Row],[År 12]]*1.01</f>
        <v>67675.98448469599</v>
      </c>
      <c r="P9" s="8">
        <f>Tabell2589104568[[#This Row],[År 13]]*1.01</f>
        <v>68352.744329542955</v>
      </c>
      <c r="Q9" s="8">
        <f>Tabell2589104568[[#This Row],[År 14]]*1.01</f>
        <v>69036.271772838387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Q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>
        <f>[1]!Tabell258910[[#This Row],[År 12]]+0.02</f>
        <v>0.25999999999999995</v>
      </c>
      <c r="P11" s="2">
        <f>[1]!Tabell258910[[#This Row],[År 13]]+0.02</f>
        <v>0.27999999999999997</v>
      </c>
      <c r="Q11" s="2">
        <f>[1]!Tabell258910[[#This Row],[År 14]]+0.02</f>
        <v>0.3</v>
      </c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</row>
    <row r="13" spans="1:17" x14ac:dyDescent="0.35">
      <c r="A13" t="s">
        <v>27</v>
      </c>
      <c r="C13" s="8">
        <f>(C10+C9+C8)*(1-C11)-C12</f>
        <v>124059.01999999999</v>
      </c>
      <c r="D13" s="8">
        <f t="shared" ref="D13:Q13" si="1">(D10+D9+D8)*(1-D11)-D12</f>
        <v>122217.63519999999</v>
      </c>
      <c r="E13" s="8">
        <f t="shared" si="1"/>
        <v>120346.34421000001</v>
      </c>
      <c r="F13" s="8">
        <f t="shared" si="1"/>
        <v>118444.38950532002</v>
      </c>
      <c r="G13" s="8">
        <f t="shared" si="1"/>
        <v>116510.99581134701</v>
      </c>
      <c r="H13" s="8">
        <f t="shared" si="1"/>
        <v>114545.36969030145</v>
      </c>
      <c r="I13" s="8">
        <f t="shared" si="1"/>
        <v>112546.69911839033</v>
      </c>
      <c r="J13" s="8">
        <f t="shared" si="1"/>
        <v>110514.15305312541</v>
      </c>
      <c r="K13" s="8">
        <f t="shared" si="1"/>
        <v>108446.88099057775</v>
      </c>
      <c r="L13" s="8">
        <f t="shared" si="1"/>
        <v>106344.01251233765</v>
      </c>
      <c r="M13" s="8">
        <f t="shared" si="1"/>
        <v>104204.65682194101</v>
      </c>
      <c r="N13" s="8">
        <f t="shared" si="1"/>
        <v>102027.90227051899</v>
      </c>
      <c r="O13" s="8">
        <f t="shared" si="1"/>
        <v>99812.815871422194</v>
      </c>
      <c r="P13" s="8">
        <f t="shared" si="1"/>
        <v>97558.442803564874</v>
      </c>
      <c r="Q13" s="8">
        <f t="shared" si="1"/>
        <v>95263.805903228364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</row>
    <row r="18" spans="1:17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t="s">
        <v>31</v>
      </c>
      <c r="C19" s="8">
        <f t="shared" ref="C19:Q19" si="7">C13*C17</f>
        <v>117036.8113207547</v>
      </c>
      <c r="D19" s="8">
        <f t="shared" si="7"/>
        <v>108773.26023495903</v>
      </c>
      <c r="E19" s="8">
        <f t="shared" si="7"/>
        <v>101045.1112411588</v>
      </c>
      <c r="F19" s="8">
        <f t="shared" si="7"/>
        <v>93819.050373259888</v>
      </c>
      <c r="G19" s="8">
        <f t="shared" si="7"/>
        <v>87063.793848791975</v>
      </c>
      <c r="H19" s="8">
        <f t="shared" si="7"/>
        <v>80749.965721737419</v>
      </c>
      <c r="I19" s="8">
        <f t="shared" si="7"/>
        <v>74849.982863398182</v>
      </c>
      <c r="J19" s="8">
        <f t="shared" si="7"/>
        <v>69337.946833894966</v>
      </c>
      <c r="K19" s="8">
        <f t="shared" si="7"/>
        <v>64189.542232946435</v>
      </c>
      <c r="L19" s="8">
        <f t="shared" si="7"/>
        <v>59381.941143085285</v>
      </c>
      <c r="M19" s="8">
        <f t="shared" si="7"/>
        <v>54893.713301513359</v>
      </c>
      <c r="N19" s="8">
        <f t="shared" si="7"/>
        <v>50704.741658476225</v>
      </c>
      <c r="O19" s="8">
        <f t="shared" si="7"/>
        <v>46796.143000423603</v>
      </c>
      <c r="P19" s="8">
        <f t="shared" si="7"/>
        <v>43150.193335395903</v>
      </c>
      <c r="Q19" s="8">
        <f t="shared" si="7"/>
        <v>39750.257756109313</v>
      </c>
    </row>
    <row r="20" spans="1:17" x14ac:dyDescent="0.35">
      <c r="A20" t="s">
        <v>32</v>
      </c>
      <c r="B20" s="8">
        <f>SUM(C19:Q19)</f>
        <v>1091542.454865905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35">
      <c r="A24" t="s">
        <v>34</v>
      </c>
      <c r="B24" s="8">
        <f>B20</f>
        <v>1091542.454865905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3" t="s">
        <v>30</v>
      </c>
      <c r="B25" s="3">
        <f>B7</f>
        <v>1071000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9" t="s">
        <v>42</v>
      </c>
      <c r="B26" s="10">
        <f>B24-B25</f>
        <v>20542.454865904991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9007D-6482-4AC8-90E0-663EFCAD266F}">
  <sheetPr>
    <tabColor rgb="FF00B0F0"/>
  </sheetPr>
  <dimension ref="A1:Q26"/>
  <sheetViews>
    <sheetView topLeftCell="A8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5">
      <c r="A3" s="3" t="s">
        <v>19</v>
      </c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t="s">
        <v>22</v>
      </c>
      <c r="B7" s="7">
        <v>892500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  <c r="O8" s="8">
        <v>59751</v>
      </c>
      <c r="P8" s="8">
        <v>59751</v>
      </c>
      <c r="Q8" s="8"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Tabell258910456[[#This Row],[År 1]]*1.01</f>
        <v>60659.590000000011</v>
      </c>
      <c r="E9" s="8">
        <f>Tabell258910456[[#This Row],[År 2]]*1.01</f>
        <v>61266.185900000011</v>
      </c>
      <c r="F9" s="8">
        <f>Tabell258910456[[#This Row],[År 3]]*1.01</f>
        <v>61878.847759000011</v>
      </c>
      <c r="G9" s="8">
        <f>Tabell258910456[[#This Row],[År 4]]*1.01</f>
        <v>62497.636236590013</v>
      </c>
      <c r="H9" s="8">
        <f>Tabell258910456[[#This Row],[År 5]]*1.01</f>
        <v>63122.612598955915</v>
      </c>
      <c r="I9" s="8">
        <f>Tabell258910456[[#This Row],[År 6]]*1.01</f>
        <v>63753.838724945475</v>
      </c>
      <c r="J9" s="8">
        <f>Tabell258910456[[#This Row],[År 7]]*1.01</f>
        <v>64391.377112194932</v>
      </c>
      <c r="K9" s="8">
        <f>Tabell258910456[[#This Row],[År 8]]*1.01</f>
        <v>65035.290883316884</v>
      </c>
      <c r="L9" s="8">
        <f>Tabell258910456[[#This Row],[År 9]]*1.01</f>
        <v>65685.643792150047</v>
      </c>
      <c r="M9" s="8">
        <f>Tabell258910456[[#This Row],[År 10]]*1.01</f>
        <v>66342.500230071542</v>
      </c>
      <c r="N9" s="8">
        <f>Tabell258910456[[#This Row],[År 11]]*1.01</f>
        <v>67005.925232372261</v>
      </c>
      <c r="O9" s="8">
        <f>Tabell258910456[[#This Row],[År 12]]*1.01</f>
        <v>67675.98448469599</v>
      </c>
      <c r="P9" s="8">
        <f>Tabell258910456[[#This Row],[År 13]]*1.01</f>
        <v>68352.744329542955</v>
      </c>
      <c r="Q9" s="8">
        <f>Tabell258910456[[#This Row],[År 14]]*1.01</f>
        <v>69036.271772838387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Q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>
        <f>[1]!Tabell258910[[#This Row],[År 12]]+0.02</f>
        <v>0.25999999999999995</v>
      </c>
      <c r="P11" s="2">
        <f>[1]!Tabell258910[[#This Row],[År 13]]+0.02</f>
        <v>0.27999999999999997</v>
      </c>
      <c r="Q11" s="2">
        <f>[1]!Tabell258910[[#This Row],[År 14]]+0.02</f>
        <v>0.3</v>
      </c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</row>
    <row r="13" spans="1:17" x14ac:dyDescent="0.35">
      <c r="A13" t="s">
        <v>27</v>
      </c>
      <c r="C13" s="8">
        <f>(C10+C9+C8)*(1-C11)-C12</f>
        <v>124059.01999999999</v>
      </c>
      <c r="D13" s="8">
        <f t="shared" ref="D13:Q13" si="1">(D10+D9+D8)*(1-D11)-D12</f>
        <v>122217.63519999999</v>
      </c>
      <c r="E13" s="8">
        <f t="shared" si="1"/>
        <v>120346.34421000001</v>
      </c>
      <c r="F13" s="8">
        <f t="shared" si="1"/>
        <v>118444.38950532002</v>
      </c>
      <c r="G13" s="8">
        <f t="shared" si="1"/>
        <v>116510.99581134701</v>
      </c>
      <c r="H13" s="8">
        <f t="shared" si="1"/>
        <v>114545.36969030145</v>
      </c>
      <c r="I13" s="8">
        <f t="shared" si="1"/>
        <v>112546.69911839033</v>
      </c>
      <c r="J13" s="8">
        <f t="shared" si="1"/>
        <v>110514.15305312541</v>
      </c>
      <c r="K13" s="8">
        <f t="shared" si="1"/>
        <v>108446.88099057775</v>
      </c>
      <c r="L13" s="8">
        <f t="shared" si="1"/>
        <v>106344.01251233765</v>
      </c>
      <c r="M13" s="8">
        <f t="shared" si="1"/>
        <v>104204.65682194101</v>
      </c>
      <c r="N13" s="8">
        <f t="shared" si="1"/>
        <v>102027.90227051899</v>
      </c>
      <c r="O13" s="8">
        <f t="shared" si="1"/>
        <v>99812.815871422194</v>
      </c>
      <c r="P13" s="8">
        <f t="shared" si="1"/>
        <v>97558.442803564874</v>
      </c>
      <c r="Q13" s="8">
        <f t="shared" si="1"/>
        <v>95263.805903228364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</row>
    <row r="18" spans="1:17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t="s">
        <v>31</v>
      </c>
      <c r="C19" s="8">
        <f t="shared" ref="C19:Q19" si="7">C13*C17</f>
        <v>117036.8113207547</v>
      </c>
      <c r="D19" s="8">
        <f t="shared" si="7"/>
        <v>108773.26023495903</v>
      </c>
      <c r="E19" s="8">
        <f t="shared" si="7"/>
        <v>101045.1112411588</v>
      </c>
      <c r="F19" s="8">
        <f t="shared" si="7"/>
        <v>93819.050373259888</v>
      </c>
      <c r="G19" s="8">
        <f t="shared" si="7"/>
        <v>87063.793848791975</v>
      </c>
      <c r="H19" s="8">
        <f t="shared" si="7"/>
        <v>80749.965721737419</v>
      </c>
      <c r="I19" s="8">
        <f t="shared" si="7"/>
        <v>74849.982863398182</v>
      </c>
      <c r="J19" s="8">
        <f t="shared" si="7"/>
        <v>69337.946833894966</v>
      </c>
      <c r="K19" s="8">
        <f t="shared" si="7"/>
        <v>64189.542232946435</v>
      </c>
      <c r="L19" s="8">
        <f t="shared" si="7"/>
        <v>59381.941143085285</v>
      </c>
      <c r="M19" s="8">
        <f t="shared" si="7"/>
        <v>54893.713301513359</v>
      </c>
      <c r="N19" s="8">
        <f t="shared" si="7"/>
        <v>50704.741658476225</v>
      </c>
      <c r="O19" s="8">
        <f t="shared" si="7"/>
        <v>46796.143000423603</v>
      </c>
      <c r="P19" s="8">
        <f t="shared" si="7"/>
        <v>43150.193335395903</v>
      </c>
      <c r="Q19" s="8">
        <f t="shared" si="7"/>
        <v>39750.257756109313</v>
      </c>
    </row>
    <row r="20" spans="1:17" x14ac:dyDescent="0.35">
      <c r="A20" t="s">
        <v>32</v>
      </c>
      <c r="B20" s="8">
        <f>SUM(C19:Q19)</f>
        <v>1091542.454865905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35">
      <c r="A24" t="s">
        <v>34</v>
      </c>
      <c r="B24" s="8">
        <f>B20</f>
        <v>1091542.454865905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3" t="s">
        <v>30</v>
      </c>
      <c r="B25" s="3">
        <f>B7</f>
        <v>892500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9" t="s">
        <v>42</v>
      </c>
      <c r="B26" s="10">
        <f>B24-B25</f>
        <v>199042.45486590499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4DBE0-7D7F-4639-9359-00A2F35891EB}">
  <sheetPr>
    <tabColor rgb="FF00B0F0"/>
  </sheetPr>
  <dimension ref="A1:Q26"/>
  <sheetViews>
    <sheetView topLeftCell="A5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5">
      <c r="A3" s="3" t="s">
        <v>19</v>
      </c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t="s">
        <v>22</v>
      </c>
      <c r="B7" s="7">
        <f>892500*0.8</f>
        <v>714000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  <c r="O8" s="8">
        <v>59751</v>
      </c>
      <c r="P8" s="8">
        <v>59751</v>
      </c>
      <c r="Q8" s="8"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Tabell2589104567[[#This Row],[År 1]]*1.01</f>
        <v>60659.590000000011</v>
      </c>
      <c r="E9" s="8">
        <f>Tabell2589104567[[#This Row],[År 2]]*1.01</f>
        <v>61266.185900000011</v>
      </c>
      <c r="F9" s="8">
        <f>Tabell2589104567[[#This Row],[År 3]]*1.01</f>
        <v>61878.847759000011</v>
      </c>
      <c r="G9" s="8">
        <f>Tabell2589104567[[#This Row],[År 4]]*1.01</f>
        <v>62497.636236590013</v>
      </c>
      <c r="H9" s="8">
        <f>Tabell2589104567[[#This Row],[År 5]]*1.01</f>
        <v>63122.612598955915</v>
      </c>
      <c r="I9" s="8">
        <f>Tabell2589104567[[#This Row],[År 6]]*1.01</f>
        <v>63753.838724945475</v>
      </c>
      <c r="J9" s="8">
        <f>Tabell2589104567[[#This Row],[År 7]]*1.01</f>
        <v>64391.377112194932</v>
      </c>
      <c r="K9" s="8">
        <f>Tabell2589104567[[#This Row],[År 8]]*1.01</f>
        <v>65035.290883316884</v>
      </c>
      <c r="L9" s="8">
        <f>Tabell2589104567[[#This Row],[År 9]]*1.01</f>
        <v>65685.643792150047</v>
      </c>
      <c r="M9" s="8">
        <f>Tabell2589104567[[#This Row],[År 10]]*1.01</f>
        <v>66342.500230071542</v>
      </c>
      <c r="N9" s="8">
        <f>Tabell2589104567[[#This Row],[År 11]]*1.01</f>
        <v>67005.925232372261</v>
      </c>
      <c r="O9" s="8">
        <f>Tabell2589104567[[#This Row],[År 12]]*1.01</f>
        <v>67675.98448469599</v>
      </c>
      <c r="P9" s="8">
        <f>Tabell2589104567[[#This Row],[År 13]]*1.01</f>
        <v>68352.744329542955</v>
      </c>
      <c r="Q9" s="8">
        <f>Tabell2589104567[[#This Row],[År 14]]*1.01</f>
        <v>69036.271772838387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Q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>
        <f>[1]!Tabell258910[[#This Row],[År 12]]+0.02</f>
        <v>0.25999999999999995</v>
      </c>
      <c r="P11" s="2">
        <f>[1]!Tabell258910[[#This Row],[År 13]]+0.02</f>
        <v>0.27999999999999997</v>
      </c>
      <c r="Q11" s="2">
        <f>[1]!Tabell258910[[#This Row],[År 14]]+0.02</f>
        <v>0.3</v>
      </c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</row>
    <row r="13" spans="1:17" x14ac:dyDescent="0.35">
      <c r="A13" t="s">
        <v>27</v>
      </c>
      <c r="C13" s="8">
        <f>(C10+C9+C8)*(1-C11)-C12</f>
        <v>124059.01999999999</v>
      </c>
      <c r="D13" s="8">
        <f t="shared" ref="D13:Q13" si="1">(D10+D9+D8)*(1-D11)-D12</f>
        <v>122217.63519999999</v>
      </c>
      <c r="E13" s="8">
        <f t="shared" si="1"/>
        <v>120346.34421000001</v>
      </c>
      <c r="F13" s="8">
        <f t="shared" si="1"/>
        <v>118444.38950532002</v>
      </c>
      <c r="G13" s="8">
        <f t="shared" si="1"/>
        <v>116510.99581134701</v>
      </c>
      <c r="H13" s="8">
        <f t="shared" si="1"/>
        <v>114545.36969030145</v>
      </c>
      <c r="I13" s="8">
        <f t="shared" si="1"/>
        <v>112546.69911839033</v>
      </c>
      <c r="J13" s="8">
        <f t="shared" si="1"/>
        <v>110514.15305312541</v>
      </c>
      <c r="K13" s="8">
        <f t="shared" si="1"/>
        <v>108446.88099057775</v>
      </c>
      <c r="L13" s="8">
        <f t="shared" si="1"/>
        <v>106344.01251233765</v>
      </c>
      <c r="M13" s="8">
        <f t="shared" si="1"/>
        <v>104204.65682194101</v>
      </c>
      <c r="N13" s="8">
        <f t="shared" si="1"/>
        <v>102027.90227051899</v>
      </c>
      <c r="O13" s="8">
        <f t="shared" si="1"/>
        <v>99812.815871422194</v>
      </c>
      <c r="P13" s="8">
        <f t="shared" si="1"/>
        <v>97558.442803564874</v>
      </c>
      <c r="Q13" s="8">
        <f t="shared" si="1"/>
        <v>95263.805903228364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</row>
    <row r="18" spans="1:17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t="s">
        <v>31</v>
      </c>
      <c r="C19" s="8">
        <f>C13*C17</f>
        <v>117036.8113207547</v>
      </c>
      <c r="D19" s="8">
        <f t="shared" ref="D19:Q19" si="7">D13*D17</f>
        <v>108773.26023495903</v>
      </c>
      <c r="E19" s="8">
        <f t="shared" si="7"/>
        <v>101045.1112411588</v>
      </c>
      <c r="F19" s="8">
        <f t="shared" si="7"/>
        <v>93819.050373259888</v>
      </c>
      <c r="G19" s="8">
        <f t="shared" si="7"/>
        <v>87063.793848791975</v>
      </c>
      <c r="H19" s="8">
        <f t="shared" si="7"/>
        <v>80749.965721737419</v>
      </c>
      <c r="I19" s="8">
        <f t="shared" si="7"/>
        <v>74849.982863398182</v>
      </c>
      <c r="J19" s="8">
        <f t="shared" si="7"/>
        <v>69337.946833894966</v>
      </c>
      <c r="K19" s="8">
        <f t="shared" si="7"/>
        <v>64189.542232946435</v>
      </c>
      <c r="L19" s="8">
        <f t="shared" si="7"/>
        <v>59381.941143085285</v>
      </c>
      <c r="M19" s="8">
        <f t="shared" si="7"/>
        <v>54893.713301513359</v>
      </c>
      <c r="N19" s="8">
        <f t="shared" si="7"/>
        <v>50704.741658476225</v>
      </c>
      <c r="O19" s="8">
        <f t="shared" si="7"/>
        <v>46796.143000423603</v>
      </c>
      <c r="P19" s="8">
        <f t="shared" si="7"/>
        <v>43150.193335395903</v>
      </c>
      <c r="Q19" s="8">
        <f t="shared" si="7"/>
        <v>39750.257756109313</v>
      </c>
    </row>
    <row r="20" spans="1:17" x14ac:dyDescent="0.35">
      <c r="A20" t="s">
        <v>32</v>
      </c>
      <c r="B20" s="8">
        <f>SUM(C19:Q19)</f>
        <v>1091542.454865905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35">
      <c r="A24" t="s">
        <v>34</v>
      </c>
      <c r="B24" s="8">
        <f>B20</f>
        <v>1091542.454865905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3" t="s">
        <v>30</v>
      </c>
      <c r="B25" s="3">
        <f>B7</f>
        <v>714000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9" t="s">
        <v>42</v>
      </c>
      <c r="B26" s="10">
        <f>B24-B25</f>
        <v>377542.45486590499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38A25-47E0-4E63-9560-BF70D6803014}">
  <sheetPr>
    <tabColor theme="5"/>
  </sheetPr>
  <dimension ref="A1:Q26"/>
  <sheetViews>
    <sheetView topLeftCell="A5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5">
      <c r="A3" s="3" t="s">
        <v>19</v>
      </c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t="s">
        <v>22</v>
      </c>
      <c r="B7" s="7">
        <v>892500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  <c r="O8" s="8">
        <v>59751</v>
      </c>
      <c r="P8" s="8">
        <v>59751</v>
      </c>
      <c r="Q8" s="8"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Tabell258910456910[[#This Row],[År 1]]*1.01</f>
        <v>60659.590000000011</v>
      </c>
      <c r="E9" s="8">
        <f>Tabell258910456910[[#This Row],[År 2]]*1.01</f>
        <v>61266.185900000011</v>
      </c>
      <c r="F9" s="8">
        <f>Tabell258910456910[[#This Row],[År 3]]*1.01</f>
        <v>61878.847759000011</v>
      </c>
      <c r="G9" s="8">
        <f>Tabell258910456910[[#This Row],[År 4]]*1.01</f>
        <v>62497.636236590013</v>
      </c>
      <c r="H9" s="8">
        <f>Tabell258910456910[[#This Row],[År 5]]*1.01</f>
        <v>63122.612598955915</v>
      </c>
      <c r="I9" s="8">
        <f>Tabell258910456910[[#This Row],[År 6]]*1.01</f>
        <v>63753.838724945475</v>
      </c>
      <c r="J9" s="8">
        <f>Tabell258910456910[[#This Row],[År 7]]*1.01</f>
        <v>64391.377112194932</v>
      </c>
      <c r="K9" s="8">
        <f>Tabell258910456910[[#This Row],[År 8]]*1.01</f>
        <v>65035.290883316884</v>
      </c>
      <c r="L9" s="8">
        <f>Tabell258910456910[[#This Row],[År 9]]*1.01</f>
        <v>65685.643792150047</v>
      </c>
      <c r="M9" s="8">
        <f>Tabell258910456910[[#This Row],[År 10]]*1.01</f>
        <v>66342.500230071542</v>
      </c>
      <c r="N9" s="8">
        <f>Tabell258910456910[[#This Row],[År 11]]*1.01</f>
        <v>67005.925232372261</v>
      </c>
      <c r="O9" s="8">
        <f>Tabell258910456910[[#This Row],[År 12]]*1.01</f>
        <v>67675.98448469599</v>
      </c>
      <c r="P9" s="8">
        <f>Tabell258910456910[[#This Row],[År 13]]*1.01</f>
        <v>68352.744329542955</v>
      </c>
      <c r="Q9" s="8">
        <f>Tabell258910456910[[#This Row],[År 14]]*1.01</f>
        <v>69036.271772838387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Q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>
        <f>[1]!Tabell258910[[#This Row],[År 12]]+0.02</f>
        <v>0.25999999999999995</v>
      </c>
      <c r="P11" s="2">
        <f>[1]!Tabell258910[[#This Row],[År 13]]+0.02</f>
        <v>0.27999999999999997</v>
      </c>
      <c r="Q11" s="2">
        <f>[1]!Tabell258910[[#This Row],[År 14]]+0.02</f>
        <v>0.3</v>
      </c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</row>
    <row r="13" spans="1:17" x14ac:dyDescent="0.35">
      <c r="A13" t="s">
        <v>27</v>
      </c>
      <c r="C13" s="8">
        <f>(C10+C9+C8)*(1-C11)*0.8-C12</f>
        <v>95247.216</v>
      </c>
      <c r="D13" s="8">
        <f t="shared" ref="D13:Q13" si="1">(D10+D9+D8)*(1-D11)*0.8-D12</f>
        <v>93774.108160000003</v>
      </c>
      <c r="E13" s="8">
        <f t="shared" si="1"/>
        <v>92277.07536800002</v>
      </c>
      <c r="F13" s="8">
        <f t="shared" si="1"/>
        <v>90755.511604256026</v>
      </c>
      <c r="G13" s="8">
        <f t="shared" si="1"/>
        <v>89208.796649077616</v>
      </c>
      <c r="H13" s="8">
        <f t="shared" si="1"/>
        <v>87636.29575224116</v>
      </c>
      <c r="I13" s="8">
        <f t="shared" si="1"/>
        <v>86037.359294712267</v>
      </c>
      <c r="J13" s="8">
        <f t="shared" si="1"/>
        <v>84411.322442500328</v>
      </c>
      <c r="K13" s="8">
        <f t="shared" si="1"/>
        <v>82757.504792462205</v>
      </c>
      <c r="L13" s="8">
        <f t="shared" si="1"/>
        <v>81075.210009870119</v>
      </c>
      <c r="M13" s="8">
        <f t="shared" si="1"/>
        <v>79363.72545755282</v>
      </c>
      <c r="N13" s="8">
        <f t="shared" si="1"/>
        <v>77622.321816415191</v>
      </c>
      <c r="O13" s="8">
        <f t="shared" si="1"/>
        <v>75850.252697137767</v>
      </c>
      <c r="P13" s="8">
        <f t="shared" si="1"/>
        <v>74046.754242851908</v>
      </c>
      <c r="Q13" s="8">
        <f t="shared" si="1"/>
        <v>72211.044722582694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</row>
    <row r="18" spans="1:17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t="s">
        <v>31</v>
      </c>
      <c r="C19" s="8">
        <f t="shared" ref="C19:Q19" si="7">C13*C17</f>
        <v>89855.86415094338</v>
      </c>
      <c r="D19" s="8">
        <f t="shared" si="7"/>
        <v>83458.622427910275</v>
      </c>
      <c r="E19" s="8">
        <f t="shared" si="7"/>
        <v>77477.611860797828</v>
      </c>
      <c r="F19" s="8">
        <f t="shared" si="7"/>
        <v>71886.865645655824</v>
      </c>
      <c r="G19" s="8">
        <f t="shared" si="7"/>
        <v>66662.002387569359</v>
      </c>
      <c r="H19" s="8">
        <f t="shared" si="7"/>
        <v>61780.130415631233</v>
      </c>
      <c r="I19" s="8">
        <f t="shared" si="7"/>
        <v>57219.757836229204</v>
      </c>
      <c r="J19" s="8">
        <f t="shared" si="7"/>
        <v>52960.707981748666</v>
      </c>
      <c r="K19" s="8">
        <f t="shared" si="7"/>
        <v>48984.039932237058</v>
      </c>
      <c r="L19" s="8">
        <f t="shared" si="7"/>
        <v>45271.973806807757</v>
      </c>
      <c r="M19" s="8">
        <f t="shared" si="7"/>
        <v>41807.820539644206</v>
      </c>
      <c r="N19" s="8">
        <f t="shared" si="7"/>
        <v>38575.915872472979</v>
      </c>
      <c r="O19" s="8">
        <f t="shared" si="7"/>
        <v>35561.558311369074</v>
      </c>
      <c r="P19" s="8">
        <f t="shared" si="7"/>
        <v>32750.950810798036</v>
      </c>
      <c r="Q19" s="8">
        <f t="shared" si="7"/>
        <v>30131.145961945291</v>
      </c>
    </row>
    <row r="20" spans="1:17" x14ac:dyDescent="0.35">
      <c r="A20" t="s">
        <v>32</v>
      </c>
      <c r="B20" s="8">
        <f>SUM(C19:Q19)</f>
        <v>834384.96794175997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35">
      <c r="A24" t="s">
        <v>34</v>
      </c>
      <c r="B24" s="8">
        <f>B20</f>
        <v>834384.96794175997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3" t="s">
        <v>30</v>
      </c>
      <c r="B25" s="3">
        <f>B7</f>
        <v>892500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9" t="s">
        <v>42</v>
      </c>
      <c r="B26" s="10">
        <f>B24-B25</f>
        <v>-58115.032058240031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4EBC5-67F5-4EA7-B42E-77BFE7DA419A}">
  <sheetPr>
    <tabColor theme="5"/>
  </sheetPr>
  <dimension ref="A1:Q26"/>
  <sheetViews>
    <sheetView topLeftCell="A5" zoomScale="95" zoomScaleNormal="95" workbookViewId="0">
      <selection activeCell="A23" sqref="A23:B26"/>
    </sheetView>
  </sheetViews>
  <sheetFormatPr defaultRowHeight="14.5" x14ac:dyDescent="0.35"/>
  <cols>
    <col min="1" max="1" width="28.4531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5">
      <c r="A3" s="3" t="s">
        <v>19</v>
      </c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t="s">
        <v>22</v>
      </c>
      <c r="B7" s="7">
        <v>892500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5">
      <c r="A8" t="s">
        <v>23</v>
      </c>
      <c r="B8" s="7"/>
      <c r="C8" s="8">
        <v>59751</v>
      </c>
      <c r="D8" s="8">
        <v>59751</v>
      </c>
      <c r="E8" s="8">
        <v>59751</v>
      </c>
      <c r="F8" s="8">
        <v>59751</v>
      </c>
      <c r="G8" s="8">
        <v>59751</v>
      </c>
      <c r="H8" s="8">
        <v>59751</v>
      </c>
      <c r="I8" s="8">
        <v>59751</v>
      </c>
      <c r="J8" s="8">
        <v>59751</v>
      </c>
      <c r="K8" s="8">
        <v>59751</v>
      </c>
      <c r="L8" s="8">
        <v>59751</v>
      </c>
      <c r="M8" s="8">
        <v>59751</v>
      </c>
      <c r="N8" s="8">
        <v>59751</v>
      </c>
      <c r="O8" s="8">
        <v>59751</v>
      </c>
      <c r="P8" s="8">
        <v>59751</v>
      </c>
      <c r="Q8" s="8"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Tabell2589104569[[#This Row],[År 1]]*1.01</f>
        <v>60659.590000000011</v>
      </c>
      <c r="E9" s="8">
        <f>Tabell2589104569[[#This Row],[År 2]]*1.01</f>
        <v>61266.185900000011</v>
      </c>
      <c r="F9" s="8">
        <f>Tabell2589104569[[#This Row],[År 3]]*1.01</f>
        <v>61878.847759000011</v>
      </c>
      <c r="G9" s="8">
        <f>Tabell2589104569[[#This Row],[År 4]]*1.01</f>
        <v>62497.636236590013</v>
      </c>
      <c r="H9" s="8">
        <f>Tabell2589104569[[#This Row],[År 5]]*1.01</f>
        <v>63122.612598955915</v>
      </c>
      <c r="I9" s="8">
        <f>Tabell2589104569[[#This Row],[År 6]]*1.01</f>
        <v>63753.838724945475</v>
      </c>
      <c r="J9" s="8">
        <f>Tabell2589104569[[#This Row],[År 7]]*1.01</f>
        <v>64391.377112194932</v>
      </c>
      <c r="K9" s="8">
        <f>Tabell2589104569[[#This Row],[År 8]]*1.01</f>
        <v>65035.290883316884</v>
      </c>
      <c r="L9" s="8">
        <f>Tabell2589104569[[#This Row],[År 9]]*1.01</f>
        <v>65685.643792150047</v>
      </c>
      <c r="M9" s="8">
        <f>Tabell2589104569[[#This Row],[År 10]]*1.01</f>
        <v>66342.500230071542</v>
      </c>
      <c r="N9" s="8">
        <f>Tabell2589104569[[#This Row],[År 11]]*1.01</f>
        <v>67005.925232372261</v>
      </c>
      <c r="O9" s="8">
        <f>Tabell2589104569[[#This Row],[År 12]]*1.01</f>
        <v>67675.98448469599</v>
      </c>
      <c r="P9" s="8">
        <f>Tabell2589104569[[#This Row],[År 13]]*1.01</f>
        <v>68352.744329542955</v>
      </c>
      <c r="Q9" s="8">
        <f>Tabell2589104569[[#This Row],[År 14]]*1.01</f>
        <v>69036.271772838387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Q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>
        <f>[1]!Tabell258910[[#This Row],[År 12]]+0.02</f>
        <v>0.25999999999999995</v>
      </c>
      <c r="P11" s="2">
        <f>[1]!Tabell258910[[#This Row],[År 13]]+0.02</f>
        <v>0.27999999999999997</v>
      </c>
      <c r="Q11" s="2">
        <f>[1]!Tabell258910[[#This Row],[År 14]]+0.02</f>
        <v>0.3</v>
      </c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</row>
    <row r="13" spans="1:17" x14ac:dyDescent="0.35">
      <c r="A13" t="s">
        <v>27</v>
      </c>
      <c r="C13" s="8">
        <f>(C10+C9+C8)*(1-C11)-C12</f>
        <v>124059.01999999999</v>
      </c>
      <c r="D13" s="8">
        <f t="shared" ref="D13:Q13" si="1">(D10+D9+D8)*(1-D11)-D12</f>
        <v>122217.63519999999</v>
      </c>
      <c r="E13" s="8">
        <f t="shared" si="1"/>
        <v>120346.34421000001</v>
      </c>
      <c r="F13" s="8">
        <f t="shared" si="1"/>
        <v>118444.38950532002</v>
      </c>
      <c r="G13" s="8">
        <f t="shared" si="1"/>
        <v>116510.99581134701</v>
      </c>
      <c r="H13" s="8">
        <f t="shared" si="1"/>
        <v>114545.36969030145</v>
      </c>
      <c r="I13" s="8">
        <f t="shared" si="1"/>
        <v>112546.69911839033</v>
      </c>
      <c r="J13" s="8">
        <f t="shared" si="1"/>
        <v>110514.15305312541</v>
      </c>
      <c r="K13" s="8">
        <f t="shared" si="1"/>
        <v>108446.88099057775</v>
      </c>
      <c r="L13" s="8">
        <f t="shared" si="1"/>
        <v>106344.01251233765</v>
      </c>
      <c r="M13" s="8">
        <f t="shared" si="1"/>
        <v>104204.65682194101</v>
      </c>
      <c r="N13" s="8">
        <f t="shared" si="1"/>
        <v>102027.90227051899</v>
      </c>
      <c r="O13" s="8">
        <f t="shared" si="1"/>
        <v>99812.815871422194</v>
      </c>
      <c r="P13" s="8">
        <f t="shared" si="1"/>
        <v>97558.442803564874</v>
      </c>
      <c r="Q13" s="8">
        <f t="shared" si="1"/>
        <v>95263.805903228364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</row>
    <row r="18" spans="1:17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t="s">
        <v>31</v>
      </c>
      <c r="C19" s="8">
        <f t="shared" ref="C19:Q19" si="7">C13*C17</f>
        <v>117036.8113207547</v>
      </c>
      <c r="D19" s="8">
        <f t="shared" si="7"/>
        <v>108773.26023495903</v>
      </c>
      <c r="E19" s="8">
        <f t="shared" si="7"/>
        <v>101045.1112411588</v>
      </c>
      <c r="F19" s="8">
        <f t="shared" si="7"/>
        <v>93819.050373259888</v>
      </c>
      <c r="G19" s="8">
        <f t="shared" si="7"/>
        <v>87063.793848791975</v>
      </c>
      <c r="H19" s="8">
        <f t="shared" si="7"/>
        <v>80749.965721737419</v>
      </c>
      <c r="I19" s="8">
        <f t="shared" si="7"/>
        <v>74849.982863398182</v>
      </c>
      <c r="J19" s="8">
        <f t="shared" si="7"/>
        <v>69337.946833894966</v>
      </c>
      <c r="K19" s="8">
        <f t="shared" si="7"/>
        <v>64189.542232946435</v>
      </c>
      <c r="L19" s="8">
        <f t="shared" si="7"/>
        <v>59381.941143085285</v>
      </c>
      <c r="M19" s="8">
        <f t="shared" si="7"/>
        <v>54893.713301513359</v>
      </c>
      <c r="N19" s="8">
        <f t="shared" si="7"/>
        <v>50704.741658476225</v>
      </c>
      <c r="O19" s="8">
        <f t="shared" si="7"/>
        <v>46796.143000423603</v>
      </c>
      <c r="P19" s="8">
        <f t="shared" si="7"/>
        <v>43150.193335395903</v>
      </c>
      <c r="Q19" s="8">
        <f t="shared" si="7"/>
        <v>39750.257756109313</v>
      </c>
    </row>
    <row r="20" spans="1:17" x14ac:dyDescent="0.35">
      <c r="A20" t="s">
        <v>32</v>
      </c>
      <c r="B20" s="8">
        <f>SUM(C19:Q19)</f>
        <v>1091542.454865905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35">
      <c r="A24" t="s">
        <v>34</v>
      </c>
      <c r="B24" s="8">
        <f>B20</f>
        <v>1091542.454865905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3" t="s">
        <v>30</v>
      </c>
      <c r="B25" s="3">
        <f>B7</f>
        <v>892500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9" t="s">
        <v>42</v>
      </c>
      <c r="B26" s="10">
        <f>B24-B25</f>
        <v>199042.45486590499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D00C2-5E39-4AFC-8A9C-EBEC717E1253}">
  <sheetPr>
    <tabColor theme="5"/>
  </sheetPr>
  <dimension ref="A1:Q26"/>
  <sheetViews>
    <sheetView tabSelected="1" topLeftCell="A5" zoomScale="95" zoomScaleNormal="95" workbookViewId="0">
      <selection activeCell="K17" sqref="K17"/>
    </sheetView>
  </sheetViews>
  <sheetFormatPr defaultRowHeight="14.5" x14ac:dyDescent="0.35"/>
  <cols>
    <col min="1" max="1" width="28.4531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t="s">
        <v>17</v>
      </c>
      <c r="B2" s="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5">
      <c r="A3" s="3" t="s">
        <v>19</v>
      </c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x14ac:dyDescent="0.35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5">
      <c r="A6" s="5" t="s">
        <v>21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t="s">
        <v>22</v>
      </c>
      <c r="B7" s="7">
        <v>892500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5">
      <c r="A8" t="s">
        <v>23</v>
      </c>
      <c r="B8" s="7"/>
      <c r="C8" s="8">
        <f>59751</f>
        <v>59751</v>
      </c>
      <c r="D8" s="8">
        <f>59751</f>
        <v>59751</v>
      </c>
      <c r="E8" s="8">
        <f>59751</f>
        <v>59751</v>
      </c>
      <c r="F8" s="8">
        <f>59751</f>
        <v>59751</v>
      </c>
      <c r="G8" s="8">
        <f>59751</f>
        <v>59751</v>
      </c>
      <c r="H8" s="8">
        <f>59751</f>
        <v>59751</v>
      </c>
      <c r="I8" s="8">
        <f>59751</f>
        <v>59751</v>
      </c>
      <c r="J8" s="8">
        <f>59751</f>
        <v>59751</v>
      </c>
      <c r="K8" s="8">
        <f>59751</f>
        <v>59751</v>
      </c>
      <c r="L8" s="8">
        <f>59751</f>
        <v>59751</v>
      </c>
      <c r="M8" s="8">
        <f>59751</f>
        <v>59751</v>
      </c>
      <c r="N8" s="8">
        <f>59751</f>
        <v>59751</v>
      </c>
      <c r="O8" s="8">
        <f>59751</f>
        <v>59751</v>
      </c>
      <c r="P8" s="8">
        <f>59751</f>
        <v>59751</v>
      </c>
      <c r="Q8" s="8">
        <f>59751</f>
        <v>59751</v>
      </c>
    </row>
    <row r="9" spans="1:17" x14ac:dyDescent="0.35">
      <c r="A9" t="s">
        <v>24</v>
      </c>
      <c r="B9" s="7"/>
      <c r="C9" s="8">
        <f>58000*1.09*0.95</f>
        <v>60059.000000000007</v>
      </c>
      <c r="D9" s="8">
        <f>Tabell258910456911[[#This Row],[År 1]]*1.01</f>
        <v>60659.590000000011</v>
      </c>
      <c r="E9" s="8">
        <f>Tabell258910456911[[#This Row],[År 2]]*1.01</f>
        <v>61266.185900000011</v>
      </c>
      <c r="F9" s="8">
        <f>Tabell258910456911[[#This Row],[År 3]]*1.01</f>
        <v>61878.847759000011</v>
      </c>
      <c r="G9" s="8">
        <f>Tabell258910456911[[#This Row],[År 4]]*1.01</f>
        <v>62497.636236590013</v>
      </c>
      <c r="H9" s="8">
        <f>Tabell258910456911[[#This Row],[År 5]]*1.01</f>
        <v>63122.612598955915</v>
      </c>
      <c r="I9" s="8">
        <f>Tabell258910456911[[#This Row],[År 6]]*1.01</f>
        <v>63753.838724945475</v>
      </c>
      <c r="J9" s="8">
        <f>Tabell258910456911[[#This Row],[År 7]]*1.01</f>
        <v>64391.377112194932</v>
      </c>
      <c r="K9" s="8">
        <f>Tabell258910456911[[#This Row],[År 8]]*1.01</f>
        <v>65035.290883316884</v>
      </c>
      <c r="L9" s="8">
        <f>Tabell258910456911[[#This Row],[År 9]]*1.01</f>
        <v>65685.643792150047</v>
      </c>
      <c r="M9" s="8">
        <f>Tabell258910456911[[#This Row],[År 10]]*1.01</f>
        <v>66342.500230071542</v>
      </c>
      <c r="N9" s="8">
        <f>Tabell258910456911[[#This Row],[År 11]]*1.01</f>
        <v>67005.925232372261</v>
      </c>
      <c r="O9" s="8">
        <f>Tabell258910456911[[#This Row],[År 12]]*1.01</f>
        <v>67675.98448469599</v>
      </c>
      <c r="P9" s="8">
        <f>Tabell258910456911[[#This Row],[År 13]]*1.01</f>
        <v>68352.744329542955</v>
      </c>
      <c r="Q9" s="8">
        <f>Tabell258910456911[[#This Row],[År 14]]*1.01</f>
        <v>69036.271772838387</v>
      </c>
    </row>
    <row r="10" spans="1:17" x14ac:dyDescent="0.35">
      <c r="A10" t="s">
        <v>25</v>
      </c>
      <c r="C10" s="8">
        <v>27189</v>
      </c>
      <c r="D10" s="8">
        <f>C10*1.02</f>
        <v>27732.78</v>
      </c>
      <c r="E10" s="8">
        <f t="shared" ref="E10:Q10" si="0">D10*1.02</f>
        <v>28287.435600000001</v>
      </c>
      <c r="F10" s="8">
        <f t="shared" si="0"/>
        <v>28853.184312000001</v>
      </c>
      <c r="G10" s="8">
        <f t="shared" si="0"/>
        <v>29430.24799824</v>
      </c>
      <c r="H10" s="8">
        <f t="shared" si="0"/>
        <v>30018.8529582048</v>
      </c>
      <c r="I10" s="8">
        <f t="shared" si="0"/>
        <v>30619.230017368896</v>
      </c>
      <c r="J10" s="8">
        <f t="shared" si="0"/>
        <v>31231.614617716274</v>
      </c>
      <c r="K10" s="8">
        <f t="shared" si="0"/>
        <v>31856.2469100706</v>
      </c>
      <c r="L10" s="8">
        <f t="shared" si="0"/>
        <v>32493.371848272014</v>
      </c>
      <c r="M10" s="8">
        <f t="shared" si="0"/>
        <v>33143.239285237454</v>
      </c>
      <c r="N10" s="8">
        <f t="shared" si="0"/>
        <v>33806.104070942201</v>
      </c>
      <c r="O10" s="8">
        <f t="shared" si="0"/>
        <v>34482.226152361043</v>
      </c>
      <c r="P10" s="8">
        <f t="shared" si="0"/>
        <v>35171.870675408267</v>
      </c>
      <c r="Q10" s="8">
        <f t="shared" si="0"/>
        <v>35875.308088916434</v>
      </c>
    </row>
    <row r="11" spans="1:17" x14ac:dyDescent="0.35">
      <c r="A11" t="s">
        <v>41</v>
      </c>
      <c r="C11" s="2">
        <v>0.02</v>
      </c>
      <c r="D11" s="2">
        <f>[1]!Tabell258910[[#This Row],[År 1]]+0.02</f>
        <v>0.04</v>
      </c>
      <c r="E11" s="2">
        <f>[1]!Tabell258910[[#This Row],[År 2]]+0.02</f>
        <v>0.06</v>
      </c>
      <c r="F11" s="2">
        <f>[1]!Tabell258910[[#This Row],[År 3]]+0.02</f>
        <v>0.08</v>
      </c>
      <c r="G11" s="2">
        <f>[1]!Tabell258910[[#This Row],[År 4]]+0.02</f>
        <v>0.1</v>
      </c>
      <c r="H11" s="2">
        <f>[1]!Tabell258910[[#This Row],[År 5]]+0.02</f>
        <v>0.12000000000000001</v>
      </c>
      <c r="I11" s="2">
        <f>[1]!Tabell258910[[#This Row],[År 6]]+0.02</f>
        <v>0.14000000000000001</v>
      </c>
      <c r="J11" s="2">
        <f>[1]!Tabell258910[[#This Row],[År 7]]+0.02</f>
        <v>0.16</v>
      </c>
      <c r="K11" s="2">
        <f>[1]!Tabell258910[[#This Row],[År 8]]+0.02</f>
        <v>0.18</v>
      </c>
      <c r="L11" s="2">
        <f>[1]!Tabell258910[[#This Row],[År 9]]+0.02</f>
        <v>0.19999999999999998</v>
      </c>
      <c r="M11" s="2">
        <f>[1]!Tabell258910[[#This Row],[År 10]]+0.02</f>
        <v>0.21999999999999997</v>
      </c>
      <c r="N11" s="2">
        <f>[1]!Tabell258910[[#This Row],[År 11]]+0.02</f>
        <v>0.23999999999999996</v>
      </c>
      <c r="O11" s="2">
        <f>[1]!Tabell258910[[#This Row],[År 12]]+0.02</f>
        <v>0.25999999999999995</v>
      </c>
      <c r="P11" s="2">
        <f>[1]!Tabell258910[[#This Row],[År 13]]+0.02</f>
        <v>0.27999999999999997</v>
      </c>
      <c r="Q11" s="2">
        <f>[1]!Tabell258910[[#This Row],[År 14]]+0.02</f>
        <v>0.3</v>
      </c>
    </row>
    <row r="12" spans="1:17" x14ac:dyDescent="0.35">
      <c r="A12" t="s">
        <v>26</v>
      </c>
      <c r="C12" s="8">
        <v>20000</v>
      </c>
      <c r="D12" s="8">
        <v>20000</v>
      </c>
      <c r="E12" s="8">
        <v>20000</v>
      </c>
      <c r="F12" s="8">
        <v>20000</v>
      </c>
      <c r="G12" s="8">
        <v>20000</v>
      </c>
      <c r="H12" s="8">
        <v>20000</v>
      </c>
      <c r="I12" s="8">
        <v>20000</v>
      </c>
      <c r="J12" s="8">
        <v>20000</v>
      </c>
      <c r="K12" s="8">
        <v>20000</v>
      </c>
      <c r="L12" s="8">
        <v>20000</v>
      </c>
      <c r="M12" s="8">
        <v>20000</v>
      </c>
      <c r="N12" s="8">
        <v>20000</v>
      </c>
      <c r="O12" s="8">
        <v>20000</v>
      </c>
      <c r="P12" s="8">
        <v>20000</v>
      </c>
      <c r="Q12" s="8">
        <v>20000</v>
      </c>
    </row>
    <row r="13" spans="1:17" x14ac:dyDescent="0.35">
      <c r="A13" t="s">
        <v>27</v>
      </c>
      <c r="C13" s="8">
        <f>(C10+C9+C8)*(1-C11)*1.2-C12</f>
        <v>152870.82399999999</v>
      </c>
      <c r="D13" s="8">
        <f t="shared" ref="D13:Q13" si="1">(D10+D9+D8)*(1-D11)*1.2-D12</f>
        <v>150661.16223999998</v>
      </c>
      <c r="E13" s="8">
        <f t="shared" si="1"/>
        <v>148415.613052</v>
      </c>
      <c r="F13" s="8">
        <f t="shared" si="1"/>
        <v>146133.26740638402</v>
      </c>
      <c r="G13" s="8">
        <f t="shared" si="1"/>
        <v>143813.1949736164</v>
      </c>
      <c r="H13" s="8">
        <f t="shared" si="1"/>
        <v>141454.44362836174</v>
      </c>
      <c r="I13" s="8">
        <f t="shared" si="1"/>
        <v>139056.03894206838</v>
      </c>
      <c r="J13" s="8">
        <f t="shared" si="1"/>
        <v>136616.98366375049</v>
      </c>
      <c r="K13" s="8">
        <f t="shared" si="1"/>
        <v>134136.2571886933</v>
      </c>
      <c r="L13" s="8">
        <f t="shared" si="1"/>
        <v>131612.81501480518</v>
      </c>
      <c r="M13" s="8">
        <f t="shared" si="1"/>
        <v>129045.5881863292</v>
      </c>
      <c r="N13" s="8">
        <f t="shared" si="1"/>
        <v>126433.48272462277</v>
      </c>
      <c r="O13" s="8">
        <f t="shared" si="1"/>
        <v>123775.37904570662</v>
      </c>
      <c r="P13" s="8">
        <f t="shared" si="1"/>
        <v>121070.13136427786</v>
      </c>
      <c r="Q13" s="8">
        <f t="shared" si="1"/>
        <v>118316.56708387402</v>
      </c>
    </row>
    <row r="14" spans="1:17" x14ac:dyDescent="0.35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5" t="s">
        <v>28</v>
      </c>
      <c r="B16" s="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35">
      <c r="A17" t="s">
        <v>29</v>
      </c>
      <c r="C17" s="2">
        <f>(1+0.06)^-1</f>
        <v>0.94339622641509424</v>
      </c>
      <c r="D17" s="2">
        <f>(1+0.06)^-2</f>
        <v>0.88999644001423983</v>
      </c>
      <c r="E17" s="2">
        <f>(1+0.06)^-3</f>
        <v>0.8396192830323016</v>
      </c>
      <c r="F17" s="2">
        <f>(1+0.06)^-4</f>
        <v>0.79209366323802044</v>
      </c>
      <c r="G17" s="2">
        <f>(1+0.06)^-5</f>
        <v>0.74725817286605689</v>
      </c>
      <c r="H17" s="2">
        <f>(1+0.06)^-6</f>
        <v>0.70496054043967626</v>
      </c>
      <c r="I17" s="2">
        <f>(1+0.06)^-7</f>
        <v>0.66505711362233599</v>
      </c>
      <c r="J17" s="2">
        <f>(1+0.06)^-8</f>
        <v>0.62741237134182648</v>
      </c>
      <c r="K17" s="2">
        <f>(1+0.06)^-9</f>
        <v>0.59189846353002495</v>
      </c>
      <c r="L17" s="2">
        <f>(1+0.06)^-10</f>
        <v>0.55839477691511785</v>
      </c>
      <c r="M17" s="2">
        <f t="shared" ref="M17" si="2">(1+0.06)^-11</f>
        <v>0.52678752539162055</v>
      </c>
      <c r="N17" s="2">
        <f t="shared" ref="N17" si="3">(1+0.06)^-12</f>
        <v>0.4969693635770005</v>
      </c>
      <c r="O17" s="2">
        <f t="shared" ref="O17" si="4">(1+0.06)^-13</f>
        <v>0.46883902224245327</v>
      </c>
      <c r="P17" s="2">
        <f t="shared" ref="P17" si="5">(1+0.06)^-14</f>
        <v>0.44230096437967292</v>
      </c>
      <c r="Q17" s="2">
        <f t="shared" ref="Q17" si="6">(1+0.06)^-15</f>
        <v>0.41726506073554037</v>
      </c>
    </row>
    <row r="18" spans="1:17" x14ac:dyDescent="0.35">
      <c r="A18" t="s">
        <v>30</v>
      </c>
      <c r="B18" s="7">
        <v>892500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t="s">
        <v>31</v>
      </c>
      <c r="C19" s="8">
        <f t="shared" ref="C19:Q19" si="7">C13*C17</f>
        <v>144217.75849056602</v>
      </c>
      <c r="D19" s="8">
        <f t="shared" si="7"/>
        <v>134087.89804200779</v>
      </c>
      <c r="E19" s="8">
        <f t="shared" si="7"/>
        <v>124612.61062151975</v>
      </c>
      <c r="F19" s="8">
        <f t="shared" si="7"/>
        <v>115751.23510086394</v>
      </c>
      <c r="G19" s="8">
        <f t="shared" si="7"/>
        <v>107465.58531001459</v>
      </c>
      <c r="H19" s="8">
        <f t="shared" si="7"/>
        <v>99719.801027843612</v>
      </c>
      <c r="I19" s="8">
        <f t="shared" si="7"/>
        <v>92480.207890567151</v>
      </c>
      <c r="J19" s="8">
        <f t="shared" si="7"/>
        <v>85715.185686041266</v>
      </c>
      <c r="K19" s="8">
        <f t="shared" si="7"/>
        <v>79395.044533655833</v>
      </c>
      <c r="L19" s="8">
        <f t="shared" si="7"/>
        <v>73491.908479362814</v>
      </c>
      <c r="M19" s="8">
        <f t="shared" si="7"/>
        <v>67979.606063382496</v>
      </c>
      <c r="N19" s="8">
        <f t="shared" si="7"/>
        <v>62833.567444479464</v>
      </c>
      <c r="O19" s="8">
        <f t="shared" si="7"/>
        <v>58030.727689478132</v>
      </c>
      <c r="P19" s="8">
        <f t="shared" si="7"/>
        <v>53549.435859993784</v>
      </c>
      <c r="Q19" s="8">
        <f t="shared" si="7"/>
        <v>49369.369550273332</v>
      </c>
    </row>
    <row r="20" spans="1:17" x14ac:dyDescent="0.35">
      <c r="A20" t="s">
        <v>32</v>
      </c>
      <c r="B20" s="8">
        <f>SUM(C19:Q19)</f>
        <v>1348699.9417900499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5" t="s">
        <v>33</v>
      </c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35">
      <c r="A24" t="s">
        <v>34</v>
      </c>
      <c r="B24" s="8">
        <f>B20</f>
        <v>1348699.9417900499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3" t="s">
        <v>30</v>
      </c>
      <c r="B25" s="3">
        <f>B7</f>
        <v>892500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9" t="s">
        <v>42</v>
      </c>
      <c r="B26" s="10">
        <f>B24-B25</f>
        <v>456199.9417900499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9</vt:i4>
      </vt:variant>
    </vt:vector>
  </HeadingPairs>
  <TitlesOfParts>
    <vt:vector size="9" baseType="lpstr">
      <vt:lpstr>Livslängd Låg</vt:lpstr>
      <vt:lpstr>Livslängd Bas</vt:lpstr>
      <vt:lpstr>Livslängd Hög</vt:lpstr>
      <vt:lpstr>Grundinvestering Låg</vt:lpstr>
      <vt:lpstr>Grundinvestering Bas</vt:lpstr>
      <vt:lpstr>Grundinvestering Hög</vt:lpstr>
      <vt:lpstr>Intäkter Låg</vt:lpstr>
      <vt:lpstr>Intäkter Bas</vt:lpstr>
      <vt:lpstr>Intäkter Hög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Glantz</dc:creator>
  <cp:lastModifiedBy>Joel Glantz</cp:lastModifiedBy>
  <dcterms:created xsi:type="dcterms:W3CDTF">2025-09-10T11:01:21Z</dcterms:created>
  <dcterms:modified xsi:type="dcterms:W3CDTF">2025-09-19T11:33:11Z</dcterms:modified>
</cp:coreProperties>
</file>