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drawings/drawing16.xml" ContentType="application/vnd.openxmlformats-officedocument.drawing+xml"/>
  <Override PartName="/xl/charts/chart34.xml" ContentType="application/vnd.openxmlformats-officedocument.drawingml.chart+xml"/>
  <Override PartName="/xl/drawings/drawing17.xml" ContentType="application/vnd.openxmlformats-officedocument.drawing+xml"/>
  <Override PartName="/xl/charts/chart35.xml" ContentType="application/vnd.openxmlformats-officedocument.drawingml.chart+xml"/>
  <Override PartName="/xl/drawings/drawing18.xml" ContentType="application/vnd.openxmlformats-officedocument.drawing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iie-jlh\Google Drive\PhD\Papers\LED Lifetimes LCA\"/>
    </mc:Choice>
  </mc:AlternateContent>
  <bookViews>
    <workbookView xWindow="0" yWindow="0" windowWidth="15660" windowHeight="4692" activeTab="2"/>
  </bookViews>
  <sheets>
    <sheet name="2012 LED lamp LCI" sheetId="33" r:id="rId1"/>
    <sheet name="2017 LED lamp 1 LCI" sheetId="34" r:id="rId2"/>
    <sheet name="2017 Product 2 LCI" sheetId="32" r:id="rId3"/>
    <sheet name="2017 LED lamp 3 LCI" sheetId="35" r:id="rId4"/>
    <sheet name="LED unit LCI" sheetId="36" r:id="rId5"/>
    <sheet name="2012 lamp LC EU" sheetId="8" r:id="rId6"/>
    <sheet name="2017 lamp 1 LC EU" sheetId="5" r:id="rId7"/>
    <sheet name="2017 Lamp 2 LC EU" sheetId="6" r:id="rId8"/>
    <sheet name="2017 lamp 3 LC EU" sheetId="7" r:id="rId9"/>
    <sheet name="LED complete unit" sheetId="10" r:id="rId10"/>
    <sheet name="Static scenario" sheetId="12" r:id="rId11"/>
    <sheet name="Improved product (EU) Scenario" sheetId="13" r:id="rId12"/>
    <sheet name="EU normalisation world" sheetId="14" r:id="rId13"/>
    <sheet name=" Decarbonised (NO) scenario" sheetId="15" r:id="rId14"/>
    <sheet name="Decarbonised (SE) scenario" sheetId="16" r:id="rId15"/>
    <sheet name="ILCD EU scenario" sheetId="17" r:id="rId16"/>
    <sheet name="ILCD EU Relative" sheetId="18" r:id="rId17"/>
    <sheet name="ILCD NO scenario" sheetId="19" r:id="rId18"/>
    <sheet name="ILCD SE normalised global" sheetId="20" r:id="rId19"/>
    <sheet name="ILCD SE scenario" sheetId="21" r:id="rId20"/>
    <sheet name="ILCD SE Relative" sheetId="22" r:id="rId21"/>
    <sheet name="Improving product LD(EU)" sheetId="30" r:id="rId22"/>
    <sheet name="IP scenario normalised LD (EU)" sheetId="31" r:id="rId23"/>
    <sheet name="Uncertainty analysis" sheetId="23" r:id="rId24"/>
    <sheet name="2012 LED lamp LC (EU)" sheetId="24" r:id="rId25"/>
    <sheet name="2017 Product 1 LC (NO)" sheetId="25" r:id="rId26"/>
    <sheet name="2017 LC product 1 (SE)" sheetId="26" r:id="rId27"/>
    <sheet name="Static relative impacts" sheetId="28" r:id="rId28"/>
    <sheet name="IP relative impacts" sheetId="29" r:id="rId29"/>
  </sheets>
  <externalReferences>
    <externalReference r:id="rId30"/>
    <externalReference r:id="rId31"/>
    <externalReference r:id="rId32"/>
  </externalReferences>
  <calcPr calcId="162913"/>
</workbook>
</file>

<file path=xl/calcChain.xml><?xml version="1.0" encoding="utf-8"?>
<calcChain xmlns="http://schemas.openxmlformats.org/spreadsheetml/2006/main">
  <c r="S3" i="30" l="1"/>
  <c r="T3" i="30" s="1"/>
  <c r="S4" i="30"/>
  <c r="T4" i="30" s="1"/>
  <c r="S5" i="30"/>
  <c r="T5" i="30" s="1"/>
  <c r="S6" i="30"/>
  <c r="T6" i="30" s="1"/>
  <c r="S7" i="30"/>
  <c r="T7" i="30" s="1"/>
  <c r="S8" i="30"/>
  <c r="T8" i="30" s="1"/>
  <c r="S9" i="30"/>
  <c r="T9" i="30" s="1"/>
  <c r="S10" i="30"/>
  <c r="T10" i="30" s="1"/>
  <c r="S11" i="30"/>
  <c r="T11" i="30" s="1"/>
  <c r="S12" i="30"/>
  <c r="T12" i="30" s="1"/>
  <c r="S13" i="30"/>
  <c r="T13" i="30" s="1"/>
  <c r="S14" i="30"/>
  <c r="T14" i="30" s="1"/>
  <c r="S15" i="30"/>
  <c r="T15" i="30" s="1"/>
  <c r="S16" i="30"/>
  <c r="T16" i="30" s="1"/>
  <c r="S17" i="30"/>
  <c r="T17" i="30" s="1"/>
  <c r="S18" i="30"/>
  <c r="T18" i="30" s="1"/>
  <c r="S19" i="30"/>
  <c r="T19" i="30" s="1"/>
  <c r="S2" i="30"/>
  <c r="T2" i="30" s="1"/>
  <c r="Q3" i="30"/>
  <c r="R3" i="30" s="1"/>
  <c r="Q4" i="30"/>
  <c r="R4" i="30" s="1"/>
  <c r="Q5" i="30"/>
  <c r="R5" i="30" s="1"/>
  <c r="Q6" i="30"/>
  <c r="R6" i="30" s="1"/>
  <c r="Q7" i="30"/>
  <c r="R7" i="30" s="1"/>
  <c r="Q8" i="30"/>
  <c r="R8" i="30" s="1"/>
  <c r="Q9" i="30"/>
  <c r="R9" i="30" s="1"/>
  <c r="Q10" i="30"/>
  <c r="R10" i="30" s="1"/>
  <c r="Q11" i="30"/>
  <c r="R11" i="30" s="1"/>
  <c r="Q12" i="30"/>
  <c r="R12" i="30" s="1"/>
  <c r="Q13" i="30"/>
  <c r="R13" i="30" s="1"/>
  <c r="Q14" i="30"/>
  <c r="R14" i="30" s="1"/>
  <c r="Q15" i="30"/>
  <c r="R15" i="30" s="1"/>
  <c r="Q16" i="30"/>
  <c r="R16" i="30" s="1"/>
  <c r="Q17" i="30"/>
  <c r="R17" i="30" s="1"/>
  <c r="Q18" i="30"/>
  <c r="R18" i="30" s="1"/>
  <c r="Q19" i="30"/>
  <c r="R19" i="30" s="1"/>
  <c r="Q2" i="30"/>
  <c r="R2" i="30" s="1"/>
  <c r="O3" i="30"/>
  <c r="P3" i="30" s="1"/>
  <c r="O4" i="30"/>
  <c r="P4" i="30" s="1"/>
  <c r="O5" i="30"/>
  <c r="P5" i="30" s="1"/>
  <c r="O6" i="30"/>
  <c r="P6" i="30" s="1"/>
  <c r="O7" i="30"/>
  <c r="P7" i="30" s="1"/>
  <c r="O8" i="30"/>
  <c r="P8" i="30" s="1"/>
  <c r="O9" i="30"/>
  <c r="P9" i="30" s="1"/>
  <c r="O10" i="30"/>
  <c r="P10" i="30" s="1"/>
  <c r="O11" i="30"/>
  <c r="P11" i="30" s="1"/>
  <c r="O12" i="30"/>
  <c r="P12" i="30" s="1"/>
  <c r="O13" i="30"/>
  <c r="P13" i="30" s="1"/>
  <c r="O14" i="30"/>
  <c r="P14" i="30" s="1"/>
  <c r="O15" i="30"/>
  <c r="P15" i="30" s="1"/>
  <c r="O16" i="30"/>
  <c r="P16" i="30" s="1"/>
  <c r="O17" i="30"/>
  <c r="P17" i="30" s="1"/>
  <c r="O18" i="30"/>
  <c r="P18" i="30" s="1"/>
  <c r="O19" i="30"/>
  <c r="P19" i="30" s="1"/>
  <c r="O2" i="30"/>
  <c r="P2" i="30" s="1"/>
  <c r="H26" i="29" l="1"/>
  <c r="F26" i="29"/>
  <c r="D26" i="29"/>
  <c r="H25" i="29"/>
  <c r="F25" i="29"/>
  <c r="D25" i="29"/>
  <c r="H24" i="29"/>
  <c r="F24" i="29"/>
  <c r="D24" i="29"/>
  <c r="H23" i="29"/>
  <c r="F23" i="29"/>
  <c r="D23" i="29"/>
  <c r="H22" i="29"/>
  <c r="F22" i="29"/>
  <c r="D22" i="29"/>
  <c r="H21" i="29"/>
  <c r="F21" i="29"/>
  <c r="D21" i="29"/>
  <c r="H20" i="29"/>
  <c r="F20" i="29"/>
  <c r="D20" i="29"/>
  <c r="H19" i="29"/>
  <c r="F19" i="29"/>
  <c r="D19" i="29"/>
  <c r="H18" i="29"/>
  <c r="F18" i="29"/>
  <c r="D18" i="29"/>
  <c r="H17" i="29"/>
  <c r="F17" i="29"/>
  <c r="D17" i="29"/>
  <c r="H16" i="29"/>
  <c r="F16" i="29"/>
  <c r="D16" i="29"/>
  <c r="H15" i="29"/>
  <c r="F15" i="29"/>
  <c r="D15" i="29"/>
  <c r="H14" i="29"/>
  <c r="F14" i="29"/>
  <c r="D14" i="29"/>
  <c r="H13" i="29"/>
  <c r="F13" i="29"/>
  <c r="D13" i="29"/>
  <c r="H12" i="29"/>
  <c r="F12" i="29"/>
  <c r="D12" i="29"/>
  <c r="H11" i="29"/>
  <c r="F11" i="29"/>
  <c r="D11" i="29"/>
  <c r="H10" i="29"/>
  <c r="F10" i="29"/>
  <c r="D10" i="29"/>
  <c r="H9" i="29"/>
  <c r="F9" i="29"/>
  <c r="D9" i="29"/>
  <c r="C49" i="28"/>
  <c r="B49" i="28"/>
  <c r="C48" i="28"/>
  <c r="B48" i="28"/>
  <c r="C47" i="28"/>
  <c r="B47" i="28"/>
  <c r="C46" i="28"/>
  <c r="B46" i="28"/>
  <c r="C45" i="28"/>
  <c r="B45" i="28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G24" i="22"/>
  <c r="E24" i="22"/>
  <c r="C24" i="22"/>
  <c r="G23" i="22"/>
  <c r="E23" i="22"/>
  <c r="C23" i="22"/>
  <c r="G22" i="22"/>
  <c r="E22" i="22"/>
  <c r="C22" i="22"/>
  <c r="G21" i="22"/>
  <c r="E21" i="22"/>
  <c r="C21" i="22"/>
  <c r="G20" i="22"/>
  <c r="E20" i="22"/>
  <c r="C20" i="22"/>
  <c r="G19" i="22"/>
  <c r="E19" i="22"/>
  <c r="C19" i="22"/>
  <c r="G18" i="22"/>
  <c r="E18" i="22"/>
  <c r="C18" i="22"/>
  <c r="G17" i="22"/>
  <c r="E17" i="22"/>
  <c r="C17" i="22"/>
  <c r="G16" i="22"/>
  <c r="E16" i="22"/>
  <c r="C16" i="22"/>
  <c r="G15" i="22"/>
  <c r="E15" i="22"/>
  <c r="C15" i="22"/>
  <c r="G14" i="22"/>
  <c r="E14" i="22"/>
  <c r="C14" i="22"/>
  <c r="G13" i="22"/>
  <c r="E13" i="22"/>
  <c r="C13" i="22"/>
  <c r="G12" i="22"/>
  <c r="E12" i="22"/>
  <c r="C12" i="22"/>
  <c r="G11" i="22"/>
  <c r="E11" i="22"/>
  <c r="C11" i="22"/>
  <c r="G10" i="22"/>
  <c r="E10" i="22"/>
  <c r="C10" i="22"/>
  <c r="G9" i="22"/>
  <c r="E9" i="22"/>
  <c r="C9" i="22"/>
  <c r="D83" i="18"/>
  <c r="C83" i="18"/>
  <c r="B83" i="18"/>
  <c r="D82" i="18"/>
  <c r="C82" i="18"/>
  <c r="B82" i="18"/>
  <c r="D81" i="18"/>
  <c r="C81" i="18"/>
  <c r="B81" i="18"/>
  <c r="D80" i="18"/>
  <c r="C80" i="18"/>
  <c r="B80" i="18"/>
  <c r="D79" i="18"/>
  <c r="C79" i="18"/>
  <c r="B79" i="18"/>
  <c r="D78" i="18"/>
  <c r="C78" i="18"/>
  <c r="B78" i="18"/>
  <c r="D77" i="18"/>
  <c r="C77" i="18"/>
  <c r="B77" i="18"/>
  <c r="D76" i="18"/>
  <c r="C76" i="18"/>
  <c r="B76" i="18"/>
  <c r="D75" i="18"/>
  <c r="C75" i="18"/>
  <c r="B75" i="18"/>
  <c r="D74" i="18"/>
  <c r="C74" i="18"/>
  <c r="B74" i="18"/>
  <c r="D73" i="18"/>
  <c r="C73" i="18"/>
  <c r="B73" i="18"/>
  <c r="D72" i="18"/>
  <c r="C72" i="18"/>
  <c r="B72" i="18"/>
  <c r="D71" i="18"/>
  <c r="C71" i="18"/>
  <c r="B71" i="18"/>
  <c r="D70" i="18"/>
  <c r="C70" i="18"/>
  <c r="B70" i="18"/>
  <c r="D69" i="18"/>
  <c r="C69" i="18"/>
  <c r="B69" i="18"/>
  <c r="D68" i="18"/>
  <c r="C68" i="18"/>
  <c r="B68" i="18"/>
  <c r="G44" i="18"/>
  <c r="E44" i="18"/>
  <c r="C44" i="18"/>
  <c r="G43" i="18"/>
  <c r="E43" i="18"/>
  <c r="C43" i="18"/>
  <c r="G42" i="18"/>
  <c r="E42" i="18"/>
  <c r="C42" i="18"/>
  <c r="G41" i="18"/>
  <c r="E41" i="18"/>
  <c r="C41" i="18"/>
  <c r="G40" i="18"/>
  <c r="E40" i="18"/>
  <c r="C40" i="18"/>
  <c r="G39" i="18"/>
  <c r="E39" i="18"/>
  <c r="C39" i="18"/>
  <c r="G38" i="18"/>
  <c r="E38" i="18"/>
  <c r="C38" i="18"/>
  <c r="G37" i="18"/>
  <c r="E37" i="18"/>
  <c r="C37" i="18"/>
  <c r="G36" i="18"/>
  <c r="E36" i="18"/>
  <c r="C36" i="18"/>
  <c r="G35" i="18"/>
  <c r="E35" i="18"/>
  <c r="C35" i="18"/>
  <c r="G34" i="18"/>
  <c r="E34" i="18"/>
  <c r="C34" i="18"/>
  <c r="G33" i="18"/>
  <c r="E33" i="18"/>
  <c r="C33" i="18"/>
  <c r="G32" i="18"/>
  <c r="E32" i="18"/>
  <c r="C32" i="18"/>
  <c r="G31" i="18"/>
  <c r="E31" i="18"/>
  <c r="C31" i="18"/>
  <c r="G30" i="18"/>
  <c r="E30" i="18"/>
  <c r="C30" i="18"/>
  <c r="G29" i="18"/>
  <c r="E29" i="18"/>
  <c r="C29" i="18"/>
  <c r="Z52" i="16"/>
  <c r="Y52" i="16"/>
  <c r="X52" i="16"/>
  <c r="Z51" i="16"/>
  <c r="Y51" i="16"/>
  <c r="X51" i="16"/>
  <c r="Z50" i="16"/>
  <c r="Y50" i="16"/>
  <c r="X50" i="16"/>
  <c r="Z49" i="16"/>
  <c r="Y49" i="16"/>
  <c r="X49" i="16"/>
  <c r="Z48" i="16"/>
  <c r="Y48" i="16"/>
  <c r="X48" i="16"/>
  <c r="Z47" i="16"/>
  <c r="Y47" i="16"/>
  <c r="X47" i="16"/>
  <c r="Z46" i="16"/>
  <c r="Y46" i="16"/>
  <c r="X46" i="16"/>
  <c r="Z45" i="16"/>
  <c r="Y45" i="16"/>
  <c r="X45" i="16"/>
  <c r="Z44" i="16"/>
  <c r="Y44" i="16"/>
  <c r="X44" i="16"/>
  <c r="Z43" i="16"/>
  <c r="Y43" i="16"/>
  <c r="X43" i="16"/>
  <c r="Z42" i="16"/>
  <c r="Y42" i="16"/>
  <c r="X42" i="16"/>
  <c r="Z41" i="16"/>
  <c r="Y41" i="16"/>
  <c r="X41" i="16"/>
  <c r="Z40" i="16"/>
  <c r="Y40" i="16"/>
  <c r="X40" i="16"/>
  <c r="Z39" i="16"/>
  <c r="Y39" i="16"/>
  <c r="X39" i="16"/>
  <c r="Z38" i="16"/>
  <c r="Y38" i="16"/>
  <c r="X38" i="16"/>
  <c r="Z37" i="16"/>
  <c r="Y37" i="16"/>
  <c r="X37" i="16"/>
  <c r="Z36" i="16"/>
  <c r="Y36" i="16"/>
  <c r="X36" i="16"/>
  <c r="Z35" i="16"/>
  <c r="Y35" i="16"/>
  <c r="X35" i="16"/>
  <c r="Q26" i="16"/>
  <c r="O26" i="16"/>
  <c r="M26" i="16"/>
  <c r="Q25" i="16"/>
  <c r="O25" i="16"/>
  <c r="M25" i="16"/>
  <c r="Q24" i="16"/>
  <c r="O24" i="16"/>
  <c r="M24" i="16"/>
  <c r="Q23" i="16"/>
  <c r="O23" i="16"/>
  <c r="M23" i="16"/>
  <c r="Q22" i="16"/>
  <c r="O22" i="16"/>
  <c r="M22" i="16"/>
  <c r="Q21" i="16"/>
  <c r="O21" i="16"/>
  <c r="M21" i="16"/>
  <c r="Q20" i="16"/>
  <c r="O20" i="16"/>
  <c r="M20" i="16"/>
  <c r="Q19" i="16"/>
  <c r="O19" i="16"/>
  <c r="M19" i="16"/>
  <c r="Q18" i="16"/>
  <c r="O18" i="16"/>
  <c r="M18" i="16"/>
  <c r="Q17" i="16"/>
  <c r="O17" i="16"/>
  <c r="M17" i="16"/>
  <c r="Q16" i="16"/>
  <c r="O16" i="16"/>
  <c r="M16" i="16"/>
  <c r="Q15" i="16"/>
  <c r="O15" i="16"/>
  <c r="M15" i="16"/>
  <c r="Q14" i="16"/>
  <c r="O14" i="16"/>
  <c r="M14" i="16"/>
  <c r="Q13" i="16"/>
  <c r="O13" i="16"/>
  <c r="M13" i="16"/>
  <c r="Q12" i="16"/>
  <c r="O12" i="16"/>
  <c r="M12" i="16"/>
  <c r="Q11" i="16"/>
  <c r="O11" i="16"/>
  <c r="M11" i="16"/>
  <c r="Q10" i="16"/>
  <c r="O10" i="16"/>
  <c r="M10" i="16"/>
  <c r="Q9" i="16"/>
  <c r="O9" i="16"/>
  <c r="M9" i="16"/>
  <c r="M50" i="15"/>
  <c r="L50" i="15"/>
  <c r="K50" i="15"/>
  <c r="M49" i="15"/>
  <c r="L49" i="15"/>
  <c r="K49" i="15"/>
  <c r="M48" i="15"/>
  <c r="L48" i="15"/>
  <c r="K48" i="15"/>
  <c r="M47" i="15"/>
  <c r="L47" i="15"/>
  <c r="K47" i="15"/>
  <c r="M46" i="15"/>
  <c r="L46" i="15"/>
  <c r="K46" i="15"/>
  <c r="M45" i="15"/>
  <c r="L45" i="15"/>
  <c r="K45" i="15"/>
  <c r="M44" i="15"/>
  <c r="L44" i="15"/>
  <c r="K44" i="15"/>
  <c r="M43" i="15"/>
  <c r="L43" i="15"/>
  <c r="K43" i="15"/>
  <c r="M42" i="15"/>
  <c r="L42" i="15"/>
  <c r="K42" i="15"/>
  <c r="M41" i="15"/>
  <c r="L41" i="15"/>
  <c r="K41" i="15"/>
  <c r="M40" i="15"/>
  <c r="L40" i="15"/>
  <c r="K40" i="15"/>
  <c r="M39" i="15"/>
  <c r="L39" i="15"/>
  <c r="K39" i="15"/>
  <c r="M38" i="15"/>
  <c r="L38" i="15"/>
  <c r="K38" i="15"/>
  <c r="M37" i="15"/>
  <c r="L37" i="15"/>
  <c r="K37" i="15"/>
  <c r="M36" i="15"/>
  <c r="L36" i="15"/>
  <c r="K36" i="15"/>
  <c r="M35" i="15"/>
  <c r="L35" i="15"/>
  <c r="K35" i="15"/>
  <c r="M34" i="15"/>
  <c r="L34" i="15"/>
  <c r="K34" i="15"/>
  <c r="M33" i="15"/>
  <c r="L33" i="15"/>
  <c r="K33" i="15"/>
  <c r="O51" i="13"/>
  <c r="N51" i="13"/>
  <c r="M51" i="13"/>
  <c r="O50" i="13"/>
  <c r="N50" i="13"/>
  <c r="M50" i="13"/>
  <c r="O49" i="13"/>
  <c r="N49" i="13"/>
  <c r="M49" i="13"/>
  <c r="O48" i="13"/>
  <c r="N48" i="13"/>
  <c r="M48" i="13"/>
  <c r="O47" i="13"/>
  <c r="N47" i="13"/>
  <c r="M47" i="13"/>
  <c r="O46" i="13"/>
  <c r="N46" i="13"/>
  <c r="M46" i="13"/>
  <c r="O45" i="13"/>
  <c r="N45" i="13"/>
  <c r="M45" i="13"/>
  <c r="O44" i="13"/>
  <c r="N44" i="13"/>
  <c r="M44" i="13"/>
  <c r="O43" i="13"/>
  <c r="N43" i="13"/>
  <c r="M43" i="13"/>
  <c r="O42" i="13"/>
  <c r="N42" i="13"/>
  <c r="M42" i="13"/>
  <c r="O41" i="13"/>
  <c r="N41" i="13"/>
  <c r="M41" i="13"/>
  <c r="O40" i="13"/>
  <c r="N40" i="13"/>
  <c r="M40" i="13"/>
  <c r="O39" i="13"/>
  <c r="N39" i="13"/>
  <c r="M39" i="13"/>
  <c r="O38" i="13"/>
  <c r="N38" i="13"/>
  <c r="M38" i="13"/>
  <c r="O37" i="13"/>
  <c r="N37" i="13"/>
  <c r="M37" i="13"/>
  <c r="O36" i="13"/>
  <c r="N36" i="13"/>
  <c r="M36" i="13"/>
  <c r="O35" i="13"/>
  <c r="N35" i="13"/>
  <c r="M35" i="13"/>
  <c r="O34" i="13"/>
  <c r="N34" i="13"/>
  <c r="M34" i="13"/>
  <c r="K48" i="12"/>
  <c r="J48" i="12"/>
  <c r="K47" i="12"/>
  <c r="J47" i="12"/>
  <c r="K46" i="12"/>
  <c r="J46" i="12"/>
  <c r="K45" i="12"/>
  <c r="J45" i="12"/>
  <c r="K44" i="12"/>
  <c r="J44" i="12"/>
  <c r="K43" i="12"/>
  <c r="J43" i="12"/>
  <c r="K42" i="12"/>
  <c r="J42" i="12"/>
  <c r="K41" i="12"/>
  <c r="J41" i="12"/>
  <c r="K40" i="12"/>
  <c r="J40" i="12"/>
  <c r="K39" i="12"/>
  <c r="J39" i="12"/>
  <c r="K38" i="12"/>
  <c r="J38" i="12"/>
  <c r="K37" i="12"/>
  <c r="J37" i="12"/>
  <c r="K36" i="12"/>
  <c r="J36" i="12"/>
  <c r="K35" i="12"/>
  <c r="J35" i="12"/>
  <c r="K34" i="12"/>
  <c r="J34" i="12"/>
  <c r="K33" i="12"/>
  <c r="J33" i="12"/>
  <c r="K32" i="12"/>
  <c r="J32" i="12"/>
  <c r="K31" i="12"/>
  <c r="J31" i="12"/>
</calcChain>
</file>

<file path=xl/sharedStrings.xml><?xml version="1.0" encoding="utf-8"?>
<sst xmlns="http://schemas.openxmlformats.org/spreadsheetml/2006/main" count="2896" uniqueCount="309">
  <si>
    <t>kg CFC-11 eq</t>
  </si>
  <si>
    <t>Transformer, low voltage use {GLO}| market for | Alloc Def, U</t>
  </si>
  <si>
    <t>Electricity, medium voltage {CN}| market group for | Alloc Def, U</t>
  </si>
  <si>
    <t>kg NMVOC</t>
  </si>
  <si>
    <t>Zinc concentrate {GLO}| market for | Alloc Def, U</t>
  </si>
  <si>
    <t>kg PM10 eq</t>
  </si>
  <si>
    <t>Freshwater ecotoxicity</t>
  </si>
  <si>
    <t>Agricultural land occupation</t>
  </si>
  <si>
    <t>Corrugated board box {GLO}| market for corrugated board box | Alloc Def, U</t>
  </si>
  <si>
    <t>Polycarbonate {GLO}| market for | Alloc Def, U</t>
  </si>
  <si>
    <t>m2a</t>
  </si>
  <si>
    <t>Steel, low-alloyed {GLO}| market for | Alloc Def, U</t>
  </si>
  <si>
    <t>Printed wiring board, surface mounted, unspecified, Pb free {GLO}| market for | Alloc Def, U</t>
  </si>
  <si>
    <t>DOE LED</t>
  </si>
  <si>
    <t>Marine ecotoxicity</t>
  </si>
  <si>
    <t>Marine eutrophication</t>
  </si>
  <si>
    <t>No</t>
  </si>
  <si>
    <t>Time:</t>
  </si>
  <si>
    <t>Climate change</t>
  </si>
  <si>
    <t>Exclude infrastructure processes:</t>
  </si>
  <si>
    <t>SimaPro 8.5.0.0</t>
  </si>
  <si>
    <t>kg 1,4-DB eq</t>
  </si>
  <si>
    <t>Impact category</t>
  </si>
  <si>
    <t>Sort order:</t>
  </si>
  <si>
    <t>Urban land occupation</t>
  </si>
  <si>
    <t>Inductor, ring core choke type {GLO}| market for | Alloc Def, U</t>
  </si>
  <si>
    <t>Photochemical oxidant formation</t>
  </si>
  <si>
    <t>Analyze</t>
  </si>
  <si>
    <t>kg SO2 eq</t>
  </si>
  <si>
    <t>kg Fe eq</t>
  </si>
  <si>
    <t>LED complete unit (2017)</t>
  </si>
  <si>
    <t>Particulate matter formation</t>
  </si>
  <si>
    <t>Metal depletion</t>
  </si>
  <si>
    <t>m2</t>
  </si>
  <si>
    <t>kg P eq</t>
  </si>
  <si>
    <t>Flux, for wave soldering {GLO}| market for | Alloc Def, U</t>
  </si>
  <si>
    <t>Capacitor, electrolyte type, &lt; 2cm height {GLO}| market for | Alloc Def, U</t>
  </si>
  <si>
    <t>Diode, glass-, for surface-mounting {GLO}| market for | Alloc Def, U</t>
  </si>
  <si>
    <t>66.88 g 2017 LED lamp 3 (packaged) (of project DOE LED)</t>
  </si>
  <si>
    <t>Results:</t>
  </si>
  <si>
    <t>Impact assessment</t>
  </si>
  <si>
    <t>Project</t>
  </si>
  <si>
    <t>Skip categories:</t>
  </si>
  <si>
    <t>Unit</t>
  </si>
  <si>
    <t>Water depletion</t>
  </si>
  <si>
    <t>Freshwater eutrophication</t>
  </si>
  <si>
    <t>Natural land transformation</t>
  </si>
  <si>
    <t>Terrestrial acidification</t>
  </si>
  <si>
    <t>Total</t>
  </si>
  <si>
    <t>Method:</t>
  </si>
  <si>
    <t>Ionising radiation</t>
  </si>
  <si>
    <t>Polymethyl methacrylate, sheet {GLO}| market for | Alloc Def, U</t>
  </si>
  <si>
    <t>kg oil eq</t>
  </si>
  <si>
    <t>Fossil depletion</t>
  </si>
  <si>
    <t>Exclude long-term emissions:</t>
  </si>
  <si>
    <t>Sorted on item:</t>
  </si>
  <si>
    <t>Human toxicity</t>
  </si>
  <si>
    <t>Capacitor, for surface-mounting {GLO}| market for | Alloc Def, U</t>
  </si>
  <si>
    <t>ReCiPe Midpoint (H) V1.13 / Europe Recipe H</t>
  </si>
  <si>
    <t>kg CO2 eq</t>
  </si>
  <si>
    <t>Indicator:</t>
  </si>
  <si>
    <t>Date:</t>
  </si>
  <si>
    <t>Characterization</t>
  </si>
  <si>
    <t>Assembly of liquid crystal display, auxilliaries and energy use {GLO}| market for | Alloc Def, U</t>
  </si>
  <si>
    <t>Terrestrial ecotoxicity</t>
  </si>
  <si>
    <t>kg N eq</t>
  </si>
  <si>
    <t>Ozone depletion</t>
  </si>
  <si>
    <t>Product:</t>
  </si>
  <si>
    <t>kBq U235 eq</t>
  </si>
  <si>
    <t>Calculation:</t>
  </si>
  <si>
    <t>Never</t>
  </si>
  <si>
    <t>Resistor, surface-mounted {GLO}| market for | Alloc Def, U</t>
  </si>
  <si>
    <t>Ascending</t>
  </si>
  <si>
    <t>m3</t>
  </si>
  <si>
    <t>Transistor, wired, small size, through-hole mounting {GLO}| market for | Alloc Def, U</t>
  </si>
  <si>
    <t>Resistor, metal film type, through-hole mounting {GLO}| market for | Alloc Def, U</t>
  </si>
  <si>
    <t>Integrated circuit, logic type {GLO}| market for | Alloc Def, U</t>
  </si>
  <si>
    <t>Aluminium, cast alloy {GLO}| market for | Alloc Def, U</t>
  </si>
  <si>
    <t>100.9 g 2017 LED lamp 2 (packaged) (of project DOE LED)</t>
  </si>
  <si>
    <t>63.65 g 2017 LED lamp 1 (packaged) (of project DOE LED)</t>
  </si>
  <si>
    <t>Epoxy resin, liquid {GLO}| market for | Alloc Def, U</t>
  </si>
  <si>
    <t>Transistor, wired, big size, through-hole mounting {GLO}| market for | Alloc Def, U</t>
  </si>
  <si>
    <t>Resistor, wirewound, through-hole mounting {GLO}| market for | Alloc Def, U</t>
  </si>
  <si>
    <t>Copper concentrate {GLO}| market for | Alloc Def, U</t>
  </si>
  <si>
    <t>Steel, chromium steel 18/8 {GLO}| market for | Alloc Def, U</t>
  </si>
  <si>
    <t>Cast iron {GLO}| market for | Alloc Def, U</t>
  </si>
  <si>
    <t>Brass {RoW}| market for brass | Alloc Def, U</t>
  </si>
  <si>
    <t>Nickel, 99.5% {GLO}| market for | Alloc Def, U</t>
  </si>
  <si>
    <t>Copper {GLO}| market for | Alloc Def, U</t>
  </si>
  <si>
    <t>Rare earth concentrate, 70% REO, from bastnasite {GLO}| market for | Alloc Def, U</t>
  </si>
  <si>
    <t>LED complete unit (2012)</t>
  </si>
  <si>
    <t>213 g 2012 LED Lamp (packaged) (of project DOE LED)</t>
  </si>
  <si>
    <t>LED waste 2012 lamp</t>
  </si>
  <si>
    <t>LED lamp transport</t>
  </si>
  <si>
    <t>Electricity, low voltage {RER}| market group for | Alloc Def, U</t>
  </si>
  <si>
    <t>2017 Product 1</t>
  </si>
  <si>
    <t>1 p 2017 Product 1 (EU avg) (of project DOE LED)</t>
  </si>
  <si>
    <t>2017 Product 2</t>
  </si>
  <si>
    <t>1 p 2017 Product 2 (EU avg) (of project DOE LED)</t>
  </si>
  <si>
    <t>2017 Product 3</t>
  </si>
  <si>
    <t>1 p 2017 Product 3 (EU avg) (of project DOE LED)</t>
  </si>
  <si>
    <t>2012 Packaged LED</t>
  </si>
  <si>
    <t>1 p 2012 lamp (25000h, EU avg) static (of project DOE LED)</t>
  </si>
  <si>
    <t>MATERIALS</t>
  </si>
  <si>
    <t>1 p 3 inch sapphire wafer (updated) (of project DOE LED)</t>
  </si>
  <si>
    <t>Aluminium oxide {GLO}| market for | Alloc Def, U</t>
  </si>
  <si>
    <t>Ethoxylated alcohol (AE7) {RER}| ethoxylated alcohol (AE7) production, petrochemical | Alloc Def, U</t>
  </si>
  <si>
    <t>Zeolite, slurry, without water, in 50% solution state {RER}| production | Alloc Def, U</t>
  </si>
  <si>
    <t>Water, ultrapure {GLO}| market for | Alloc Def, U</t>
  </si>
  <si>
    <t>1 p LED Die Fabrication (wafer - updated) (of project DOE LED)</t>
  </si>
  <si>
    <t>Acetone, liquid {RER}| production | Alloc Def, U</t>
  </si>
  <si>
    <t>Gold {SE}| gold-silver-zinc-lead-copper mine operation and refining | Alloc Def, U</t>
  </si>
  <si>
    <t>Chemical, inorganic {GLO}| market for chemicals, inorganic | Alloc Def, U</t>
  </si>
  <si>
    <t>Hydrogen fluoride {GLO}| market for | Alloc Def, U</t>
  </si>
  <si>
    <t>Hydrogen, liquid {RER}| market for | Alloc Def, U</t>
  </si>
  <si>
    <t>Nitrogen, liquid {RER}| market for | Alloc Def, U</t>
  </si>
  <si>
    <t>Ammonia, liquid {RER}| market for | Alloc Def, U</t>
  </si>
  <si>
    <t>Oxygen, liquid {RER}| market for | Alloc Def, U</t>
  </si>
  <si>
    <t>Sulfur hexafluoride, liquid {RER}| production | Alloc Def, U</t>
  </si>
  <si>
    <t>Silicon carbide {GLO}| market for | Alloc Def, U</t>
  </si>
  <si>
    <t>Silver {GLO}| market for | Alloc Def, U</t>
  </si>
  <si>
    <t>Titanium dioxide {RER}| market for | Alloc Def, U</t>
  </si>
  <si>
    <t>Palladium {GLO}| market for | Alloc Def, U</t>
  </si>
  <si>
    <t>Gallium, semiconductor-grade {GLO}| production | Alloc Def, U</t>
  </si>
  <si>
    <t>Indium {RER}| production | Alloc Def, U</t>
  </si>
  <si>
    <t>1 p LED complete unit (2017) (of project DOE LED)</t>
  </si>
  <si>
    <t>LED units from wafer (2017 yield)</t>
  </si>
  <si>
    <t>LED packaging assembly (REE updated)</t>
  </si>
  <si>
    <t>1 p LED complete unit (2012) (of project DOE LED)</t>
  </si>
  <si>
    <t>LED units from wafer (2012 yield)</t>
  </si>
  <si>
    <t>2012 - 2438 yield from wafer</t>
  </si>
  <si>
    <t>2017 - 3500 yield from wafer</t>
  </si>
  <si>
    <t>WAFER</t>
  </si>
  <si>
    <t>RELATIVE IMPACTS</t>
  </si>
  <si>
    <t>Compare</t>
  </si>
  <si>
    <t>Exported from SimaPro 8.5.0.0</t>
  </si>
  <si>
    <t>Exported on: 04/04/2018 at 12:19:06</t>
  </si>
  <si>
    <t>Product 1:</t>
  </si>
  <si>
    <t>1 p 2012 lamp (12500h, EU avg) static (of project DOE LED)</t>
  </si>
  <si>
    <t>Comparing 1 p '2012 lamp (12500h, EU avg) static', 1 p '2012 lamp (25000h, EU avg) static' and 1 p '2012 lamp (5000h, EU avg) static';_x000D_</t>
  </si>
  <si>
    <t>Product 2:</t>
  </si>
  <si>
    <t>Method: ReCiPe Midpoint (H) V1.13 / Europe Recipe H / Characterization</t>
  </si>
  <si>
    <t>Product 3:</t>
  </si>
  <si>
    <t>1 p 2012 lamp (5000h, EU avg) static (of project DOE LED)</t>
  </si>
  <si>
    <t>Unit used: %</t>
  </si>
  <si>
    <t>2012 lamp (12500h, EU avg) static</t>
  </si>
  <si>
    <t>2012 lamp (25000h, EU avg) static</t>
  </si>
  <si>
    <t>2012 lamp (5000h, EU avg) static</t>
  </si>
  <si>
    <t>Label</t>
  </si>
  <si>
    <t>25000h</t>
  </si>
  <si>
    <t>12500h</t>
  </si>
  <si>
    <t>5000h</t>
  </si>
  <si>
    <t>2012 Baseline</t>
  </si>
  <si>
    <t>12500h lifetime</t>
  </si>
  <si>
    <t>5000h lifetime</t>
  </si>
  <si>
    <t>Exported on: 04/04/2018 at 12:50:34</t>
  </si>
  <si>
    <t>1 p 2012 Product 0 (EU avg) (of project DOE LED)</t>
  </si>
  <si>
    <t>Comparing 1 p '2012 Product 0 (EU avg)', 1 p '5000 hour replacement 1 (EU avg)', 1 p '5000 hour replacement 2 (EU avg)' and 1 p '5000 hour replacement 3 (EU avg)';_x000D_</t>
  </si>
  <si>
    <t>1 p 5000 hour replacement 1 (EU avg) (of project DOE LED)</t>
  </si>
  <si>
    <t>1 p 5000 hour replacement 2 (EU avg) (of project DOE LED)</t>
  </si>
  <si>
    <t>Product 4:</t>
  </si>
  <si>
    <t>1 p 5000 hour replacement 3 (EU avg) (of project DOE LED)</t>
  </si>
  <si>
    <t>2012 Product 0 (EU avg)</t>
  </si>
  <si>
    <t>5000 hour replacement 1 (EU avg)</t>
  </si>
  <si>
    <t>5000 hour replacement 2 (EU avg)</t>
  </si>
  <si>
    <t>5000 hour replacement 3 (EU avg)</t>
  </si>
  <si>
    <t>Replacement 1</t>
  </si>
  <si>
    <t>Replacement 2</t>
  </si>
  <si>
    <t>Replacement 3</t>
  </si>
  <si>
    <t>Exported on: 07/04/2018 at 15:03:39</t>
  </si>
  <si>
    <t>Method: ReCiPe Midpoint (H) V1.13 / Europe Recipe H / Normalization</t>
  </si>
  <si>
    <t xml:space="preserve">Unit used: </t>
  </si>
  <si>
    <t>2012 LED lamp, no replacement</t>
  </si>
  <si>
    <t>Exported on: 10/04/2018 at 12:50:00</t>
  </si>
  <si>
    <t>Method: ReCiPe Midpoint (H) V1.13 / World Recipe H / Normalization</t>
  </si>
  <si>
    <t>2012 LED lamp no replacement</t>
  </si>
  <si>
    <t>Exported on: 10/04/2018 at 19:45:21</t>
  </si>
  <si>
    <t>Exported on: 07/04/2018 at 14:38:12</t>
  </si>
  <si>
    <t>Comparing 1 p '2012 Product 0 (NO avg)', 1 p '5000 hour replacement 1 (NO avg)', 1 p '5000 hour replacement 2 (NO avg)' and 1 p '5000 hour replacement 3 (NO avg)';_x000D_</t>
  </si>
  <si>
    <t>1 p 2012 Product 0 (NO avg) (of project DOE LED)</t>
  </si>
  <si>
    <t>1 p 5000 hour replacement 1 (NO avg) (of project DOE LED)</t>
  </si>
  <si>
    <t>1 p 5000 hour replacement 2 (NO avg) (of project DOE LED)</t>
  </si>
  <si>
    <t>1 p 5000 hour replacement 3 (NO avg) (of project DOE LED)</t>
  </si>
  <si>
    <t>2012 Product 0 (NO avg)</t>
  </si>
  <si>
    <t>5000 hour replacement 1 (NO avg)</t>
  </si>
  <si>
    <t>5000 hour replacement 2 (NO avg)</t>
  </si>
  <si>
    <t>5000 hour replacement 3 (NO avg)</t>
  </si>
  <si>
    <t>Exported on: 07/04/2018 at 14:39:55</t>
  </si>
  <si>
    <t>Exported on: 07/04/2018 at 15:41:17</t>
  </si>
  <si>
    <t>Comparing 1 p '2012 Product 0 (SE avg)', 1 p '5000 hour replacement 1 (SE avg)', 1 p '5000 hour replacement 2 (SE avg)' and 1 p '5000 hour replacement 3 (SE avg)';_x000D_</t>
  </si>
  <si>
    <t>1 p 2012 Product 0 (SE avg) (of project DOE LED)</t>
  </si>
  <si>
    <t>1 p 5000 hour replacement 1 (SE avg) (of project DOE LED)</t>
  </si>
  <si>
    <t>1 p 5000 hour replacement 2 (SE avg) (of project DOE LED)</t>
  </si>
  <si>
    <t>1 p 5000 hour replacement 3 (SE avg) (of project DOE LED)</t>
  </si>
  <si>
    <t>2012 Product 0 (SE avg)</t>
  </si>
  <si>
    <t>5000 hour replacement 1 (SE avg)</t>
  </si>
  <si>
    <t>5000 hour replacement 2 (SE avg)</t>
  </si>
  <si>
    <t>5000 hour replacement 3 (SE avg)</t>
  </si>
  <si>
    <t>Exported on: 07/04/2018 at 15:40:25</t>
  </si>
  <si>
    <t>Exported on: 10/04/2018 at 20:00:50</t>
  </si>
  <si>
    <t>RELATIVE</t>
  </si>
  <si>
    <t>ILCD 2011 Midpoint+ V1.09 / EU27 2010, equal weighting</t>
  </si>
  <si>
    <t>Normalization</t>
  </si>
  <si>
    <t>Single score</t>
  </si>
  <si>
    <t>EU electricity</t>
  </si>
  <si>
    <t>NO electricity</t>
  </si>
  <si>
    <t>SE electricity</t>
  </si>
  <si>
    <t>No replacement</t>
  </si>
  <si>
    <t>R1</t>
  </si>
  <si>
    <t>R2</t>
  </si>
  <si>
    <t>R3</t>
  </si>
  <si>
    <t/>
  </si>
  <si>
    <t>CTUh</t>
  </si>
  <si>
    <t>Human toxicity, non-cancer effects</t>
  </si>
  <si>
    <t>Human toxicity, cancer effects</t>
  </si>
  <si>
    <t>kg PM2.5 eq</t>
  </si>
  <si>
    <t>Particulate matter</t>
  </si>
  <si>
    <t>Ionizing radiation HH</t>
  </si>
  <si>
    <t>CTUe</t>
  </si>
  <si>
    <t>Ionizing radiation E (interim)</t>
  </si>
  <si>
    <t>kg NMVOC eq</t>
  </si>
  <si>
    <t>Photochemical ozone formation</t>
  </si>
  <si>
    <t>molc H+ eq</t>
  </si>
  <si>
    <t>Acidification</t>
  </si>
  <si>
    <t>molc N eq</t>
  </si>
  <si>
    <t>Terrestrial eutrophication</t>
  </si>
  <si>
    <t>kg C deficit</t>
  </si>
  <si>
    <t>Land use</t>
  </si>
  <si>
    <t>m3 water eq</t>
  </si>
  <si>
    <t>Water resource depletion</t>
  </si>
  <si>
    <t>kg Sb eq</t>
  </si>
  <si>
    <t>Mineral, fossil &amp; ren resource depletion</t>
  </si>
  <si>
    <t>mPt</t>
  </si>
  <si>
    <t>Exported on: 09/04/2018 at 14:30:57</t>
  </si>
  <si>
    <t>Method: ILCD 2011 Midpoint+ V1.09 / EC-JRC Global, equal weighting / Characterization</t>
  </si>
  <si>
    <t>Relative to 2012 no replacement</t>
  </si>
  <si>
    <t>Exported on: 10/04/2018 at 12:13:18</t>
  </si>
  <si>
    <t>Method: ILCD 2011 Midpoint+ V1.09 / EC-JRC Global, equal weighting / Normalization</t>
  </si>
  <si>
    <t>Exported on: 09/04/2018 at 14:40:02</t>
  </si>
  <si>
    <t>Exported on: 09/04/2018 at 14:23:53</t>
  </si>
  <si>
    <t>Uncertainty analysis of 1 p '2012 Product 0 (EU avg)',_x000D__x000D_</t>
  </si>
  <si>
    <t>Method: ReCiPe Midpoint (H) V1.13 / Europe Recipe H, confidence interval: 95 %</t>
  </si>
  <si>
    <t>Low</t>
  </si>
  <si>
    <t>High</t>
  </si>
  <si>
    <t>Exported on: 04/04/2018 at 12:25:10</t>
  </si>
  <si>
    <t>Analyzing 1 p '2012 lamp (25000h, EU avg) static';_x000D_</t>
  </si>
  <si>
    <t>Manufacturing and Materials</t>
  </si>
  <si>
    <t>Use (RER)</t>
  </si>
  <si>
    <t>LED waste</t>
  </si>
  <si>
    <t>Exported on: 09/04/2018 at 10:29:06</t>
  </si>
  <si>
    <t>Analyzing 1 p '2017 Product 1 (NO avg)';_x000D_</t>
  </si>
  <si>
    <t>Use (NO)</t>
  </si>
  <si>
    <t>Exported on: 09/04/2018 at 10:35:16</t>
  </si>
  <si>
    <t>Analyzing 1 p '2017 Product 1 (SE avg)';_x000D_</t>
  </si>
  <si>
    <t>Use (SE)</t>
  </si>
  <si>
    <t>12500h replacement</t>
  </si>
  <si>
    <t>5000h replacement</t>
  </si>
  <si>
    <t xml:space="preserve"> </t>
  </si>
  <si>
    <t>Exported from SimaPro 8.5.2.0</t>
  </si>
  <si>
    <t>Comparing 1 p '2012 Product 0 (EU avg)- LD', 1 p '5000 hour replacement 1 (EU avg) - LD', 1 p '5000 hour replacement 2 (EU avg) - LD' and 1 p '5000 hour replacement 3 (EU avg) - LD';_x000D_</t>
  </si>
  <si>
    <t>2012 Product 0 (EU avg)- LD</t>
  </si>
  <si>
    <t>5000 hour replacement 1 (EU avg) - LD</t>
  </si>
  <si>
    <t>5000 hour replacement 2 (EU avg) - LD</t>
  </si>
  <si>
    <t>5000 hour replacement 3 (EU avg) - LD</t>
  </si>
  <si>
    <t>Exported on: 12/10/2018 at 9:39:40 AM</t>
  </si>
  <si>
    <t>Exported on: 12/10/2018 at 9:39:29 AM</t>
  </si>
  <si>
    <t>g</t>
  </si>
  <si>
    <t>MJ</t>
  </si>
  <si>
    <t>Electricity/heat</t>
  </si>
  <si>
    <t>p</t>
  </si>
  <si>
    <t>Materials/fuels</t>
  </si>
  <si>
    <t>LED Lamp 2017 Product 2</t>
  </si>
  <si>
    <t>Process name</t>
  </si>
  <si>
    <t>USE</t>
  </si>
  <si>
    <t>Packaging</t>
  </si>
  <si>
    <t>kWh</t>
  </si>
  <si>
    <t>PRODUCTION</t>
  </si>
  <si>
    <t>2012 LED Lamp</t>
  </si>
  <si>
    <t>Products</t>
  </si>
  <si>
    <t>DOE LED Lamp 2012</t>
  </si>
  <si>
    <t>Unspecified</t>
  </si>
  <si>
    <t>Cut off rules</t>
  </si>
  <si>
    <t>Substitution allocation</t>
  </si>
  <si>
    <t>Multiple output allocation</t>
  </si>
  <si>
    <t>Representativeness</t>
  </si>
  <si>
    <t>Technology</t>
  </si>
  <si>
    <t>Geography</t>
  </si>
  <si>
    <t>Time period</t>
  </si>
  <si>
    <t>Status</t>
  </si>
  <si>
    <t>Unit process</t>
  </si>
  <si>
    <t>Type</t>
  </si>
  <si>
    <t>IIIEE917000042860500043</t>
  </si>
  <si>
    <t>Process identifier</t>
  </si>
  <si>
    <t>Material</t>
  </si>
  <si>
    <t>Category type</t>
  </si>
  <si>
    <t>Process</t>
  </si>
  <si>
    <t>process</t>
  </si>
  <si>
    <t>SimaPro 8.5.2.0</t>
  </si>
  <si>
    <t xml:space="preserve">                                 </t>
  </si>
  <si>
    <t>kg</t>
  </si>
  <si>
    <t>LED Die Fabrication (wafer - updated)</t>
  </si>
  <si>
    <t>Ethoxylated alcohol (AE7) {RoW}| ethoxylated alcohol (AE7) production, petrochemical | Alloc Def, U</t>
  </si>
  <si>
    <t>3 inch sapphire wafer (updated)</t>
  </si>
  <si>
    <t>Silicone product {GLO}| market for | Alloc Def, U</t>
  </si>
  <si>
    <t>Gold {GLO}| market for | Alloc Def, U</t>
  </si>
  <si>
    <t>Diode, auxilliaries and energy use {GLO}| market for | Alloc Def, U</t>
  </si>
  <si>
    <t>Source: Scholand &amp; Dillon, 2012</t>
  </si>
  <si>
    <t>LED Lamp 2017 Product 1</t>
  </si>
  <si>
    <t>Silicon, electronics grade {GLO}| market for | Alloc Def,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</si>
</sst>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####"/>
    <numFmt numFmtId="165" formatCode="#"/>
    <numFmt numFmtId="166" formatCode="0.###"/>
    <numFmt numFmtId="167" formatCode="0.##"/>
    <numFmt numFmtId="168" formatCode="0.0#E+00"/>
    <numFmt numFmtId="169" formatCode="0.000000000000"/>
    <numFmt numFmtId="170" formatCode="0.00000000000000"/>
    <numFmt numFmtId="176" formatCode="0.000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3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2" borderId="0" xfId="0" applyFill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4" fillId="0" borderId="0" xfId="1"/>
    <xf numFmtId="0" fontId="4" fillId="2" borderId="0" xfId="1" applyFill="1"/>
    <xf numFmtId="0" fontId="2" fillId="0" borderId="0" xfId="2"/>
    <xf numFmtId="0" fontId="5" fillId="0" borderId="0" xfId="2" applyFont="1"/>
    <xf numFmtId="164" fontId="2" fillId="0" borderId="0" xfId="2" applyNumberFormat="1"/>
    <xf numFmtId="165" fontId="2" fillId="0" borderId="0" xfId="2" applyNumberFormat="1"/>
    <xf numFmtId="166" fontId="2" fillId="0" borderId="0" xfId="2" applyNumberFormat="1"/>
    <xf numFmtId="1" fontId="2" fillId="0" borderId="0" xfId="2" applyNumberFormat="1"/>
    <xf numFmtId="0" fontId="2" fillId="2" borderId="0" xfId="2" applyFill="1"/>
    <xf numFmtId="167" fontId="2" fillId="0" borderId="0" xfId="2" applyNumberFormat="1"/>
    <xf numFmtId="1" fontId="4" fillId="0" borderId="0" xfId="1" applyNumberFormat="1"/>
    <xf numFmtId="14" fontId="4" fillId="0" borderId="0" xfId="1" applyNumberFormat="1"/>
    <xf numFmtId="20" fontId="4" fillId="0" borderId="0" xfId="1" applyNumberFormat="1"/>
    <xf numFmtId="168" fontId="2" fillId="0" borderId="0" xfId="2" applyNumberFormat="1"/>
    <xf numFmtId="169" fontId="2" fillId="0" borderId="0" xfId="2" applyNumberFormat="1"/>
    <xf numFmtId="170" fontId="2" fillId="0" borderId="0" xfId="2" applyNumberFormat="1"/>
    <xf numFmtId="0" fontId="4" fillId="0" borderId="0" xfId="1" applyAlignment="1">
      <alignment horizontal="center"/>
    </xf>
    <xf numFmtId="0" fontId="5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76" fontId="0" fillId="0" borderId="0" xfId="0" applyNumberFormat="1"/>
    <xf numFmtId="0" fontId="1" fillId="0" borderId="0" xfId="3"/>
    <xf numFmtId="164" fontId="1" fillId="0" borderId="0" xfId="3" applyNumberFormat="1"/>
    <xf numFmtId="1" fontId="1" fillId="0" borderId="0" xfId="3" applyNumberFormat="1"/>
    <xf numFmtId="166" fontId="1" fillId="0" borderId="0" xfId="3" applyNumberFormat="1"/>
    <xf numFmtId="0" fontId="5" fillId="0" borderId="0" xfId="3" applyFont="1"/>
    <xf numFmtId="0" fontId="6" fillId="0" borderId="0" xfId="0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'Static scenario'!$J$30</c:f>
              <c:strCache>
                <c:ptCount val="1"/>
                <c:pt idx="0">
                  <c:v>12500h lifetime</c:v>
                </c:pt>
              </c:strCache>
            </c:strRef>
          </c:tx>
          <c:spPr>
            <a:pattFill prst="narHorz">
              <a:fgClr>
                <a:srgbClr val="C00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'Static scenario'!$I$31:$I$48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'Static scenario'!$J$31:$J$48</c:f>
              <c:numCache>
                <c:formatCode>0</c:formatCode>
                <c:ptCount val="18"/>
                <c:pt idx="0">
                  <c:v>105.5556959857639</c:v>
                </c:pt>
                <c:pt idx="1">
                  <c:v>104.67186966950727</c:v>
                </c:pt>
                <c:pt idx="2">
                  <c:v>107.38017411601722</c:v>
                </c:pt>
                <c:pt idx="3">
                  <c:v>110.28393311705454</c:v>
                </c:pt>
                <c:pt idx="4">
                  <c:v>112.47568514429622</c:v>
                </c:pt>
                <c:pt idx="5">
                  <c:v>114.40336496986609</c:v>
                </c:pt>
                <c:pt idx="6">
                  <c:v>108.67201487008337</c:v>
                </c:pt>
                <c:pt idx="7">
                  <c:v>109.03815930041705</c:v>
                </c:pt>
                <c:pt idx="8">
                  <c:v>111.93457879616744</c:v>
                </c:pt>
                <c:pt idx="9">
                  <c:v>112.56831386383382</c:v>
                </c:pt>
                <c:pt idx="10">
                  <c:v>112.60473878411766</c:v>
                </c:pt>
                <c:pt idx="11">
                  <c:v>101.38452761116426</c:v>
                </c:pt>
                <c:pt idx="12">
                  <c:v>103.39028680133977</c:v>
                </c:pt>
                <c:pt idx="13">
                  <c:v>111.58026227864985</c:v>
                </c:pt>
                <c:pt idx="14">
                  <c:v>107.86035599781729</c:v>
                </c:pt>
                <c:pt idx="15">
                  <c:v>103.31275796122661</c:v>
                </c:pt>
                <c:pt idx="16">
                  <c:v>117.825477967967</c:v>
                </c:pt>
                <c:pt idx="17">
                  <c:v>105.07871319451665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1-4175-A5A0-9A6CC9D0F535}"/>
            </c:ext>
          </c:extLst>
        </c:ser>
        <c:ser>
          <c:idx val="1"/>
          <c:order val="1"/>
          <c:tx>
            <c:strRef>
              <c:f>'Static scenario'!$K$30</c:f>
              <c:strCache>
                <c:ptCount val="1"/>
                <c:pt idx="0">
                  <c:v>5000h lifetime</c:v>
                </c:pt>
              </c:strCache>
            </c:strRef>
          </c:tx>
          <c:spPr>
            <a:pattFill prst="dkHorz">
              <a:fgClr>
                <a:srgbClr val="0070C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'Static scenario'!$I$31:$I$48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'Static scenario'!$K$31:$K$48</c:f>
              <c:numCache>
                <c:formatCode>0</c:formatCode>
                <c:ptCount val="18"/>
                <c:pt idx="0">
                  <c:v>122.22278637197658</c:v>
                </c:pt>
                <c:pt idx="1">
                  <c:v>118.68748151511723</c:v>
                </c:pt>
                <c:pt idx="2">
                  <c:v>129.52069846914225</c:v>
                </c:pt>
                <c:pt idx="3">
                  <c:v>141.13573253149875</c:v>
                </c:pt>
                <c:pt idx="4">
                  <c:v>149.9027411343958</c:v>
                </c:pt>
                <c:pt idx="5">
                  <c:v>157.61345957359018</c:v>
                </c:pt>
                <c:pt idx="6">
                  <c:v>134.68806139648066</c:v>
                </c:pt>
                <c:pt idx="7">
                  <c:v>136.15263902055392</c:v>
                </c:pt>
                <c:pt idx="8">
                  <c:v>147.73831633234175</c:v>
                </c:pt>
                <c:pt idx="9">
                  <c:v>150.27325541838806</c:v>
                </c:pt>
                <c:pt idx="10">
                  <c:v>150.4189551218592</c:v>
                </c:pt>
                <c:pt idx="11">
                  <c:v>105.53811434681268</c:v>
                </c:pt>
                <c:pt idx="12">
                  <c:v>113.56115035417483</c:v>
                </c:pt>
                <c:pt idx="13">
                  <c:v>146.32105086439452</c:v>
                </c:pt>
                <c:pt idx="14">
                  <c:v>131.44142679684461</c:v>
                </c:pt>
                <c:pt idx="15">
                  <c:v>113.25103407225984</c:v>
                </c:pt>
                <c:pt idx="16">
                  <c:v>171.30191183922065</c:v>
                </c:pt>
                <c:pt idx="17">
                  <c:v>120.31485582432039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E1-4175-A5A0-9A6CC9D0F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258664"/>
        <c:axId val="583264240"/>
      </c:barChart>
      <c:catAx>
        <c:axId val="583258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264240"/>
        <c:crosses val="autoZero"/>
        <c:auto val="1"/>
        <c:lblAlgn val="ctr"/>
        <c:lblOffset val="100"/>
        <c:noMultiLvlLbl val="0"/>
      </c:catAx>
      <c:valAx>
        <c:axId val="583264240"/>
        <c:scaling>
          <c:orientation val="minMax"/>
          <c:max val="17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 impacts</a:t>
                </a:r>
                <a:r>
                  <a:rPr lang="en-US" baseline="0"/>
                  <a:t> (</a:t>
                </a:r>
                <a:r>
                  <a:rPr lang="en-US"/>
                  <a:t>25000h=</a:t>
                </a:r>
                <a:r>
                  <a:rPr lang="en-US" baseline="0"/>
                  <a:t> 100%)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25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Decarbonised (NO) scenario'!$K$8</c:f>
              <c:strCache>
                <c:ptCount val="1"/>
                <c:pt idx="0">
                  <c:v>2012 Product 0 (NO avg)</c:v>
                </c:pt>
              </c:strCache>
            </c:strRef>
          </c:tx>
          <c:invertIfNegative val="0"/>
          <c:cat>
            <c:strRef>
              <c:f>' Decarbonised (NO) scenario'!$J$9:$J$26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 Decarbonised (NO) scenario'!$K$9:$K$26</c:f>
              <c:numCache>
                <c:formatCode>0.####</c:formatCode>
                <c:ptCount val="18"/>
                <c:pt idx="0">
                  <c:v>79.617914566708151</c:v>
                </c:pt>
                <c:pt idx="1">
                  <c:v>96.844847376132691</c:v>
                </c:pt>
                <c:pt idx="2">
                  <c:v>78.314878751850813</c:v>
                </c:pt>
                <c:pt idx="3">
                  <c:v>73.884749666522083</c:v>
                </c:pt>
                <c:pt idx="4">
                  <c:v>72.52532408783496</c:v>
                </c:pt>
                <c:pt idx="5">
                  <c:v>75.170812495111733</c:v>
                </c:pt>
                <c:pt idx="6">
                  <c:v>76.809556299105211</c:v>
                </c:pt>
                <c:pt idx="7">
                  <c:v>79.083576820436889</c:v>
                </c:pt>
                <c:pt idx="8">
                  <c:v>84.626765021057807</c:v>
                </c:pt>
                <c:pt idx="9">
                  <c:v>88.146596915950013</c:v>
                </c:pt>
                <c:pt idx="10">
                  <c:v>87.999622731126664</c:v>
                </c:pt>
                <c:pt idx="11" formatCode="#">
                  <c:v>100</c:v>
                </c:pt>
                <c:pt idx="12" formatCode="#">
                  <c:v>100</c:v>
                </c:pt>
                <c:pt idx="13">
                  <c:v>75.515335760903497</c:v>
                </c:pt>
                <c:pt idx="14">
                  <c:v>98.82884872423395</c:v>
                </c:pt>
                <c:pt idx="15" formatCode="#">
                  <c:v>100</c:v>
                </c:pt>
                <c:pt idx="16">
                  <c:v>80.624497638298394</c:v>
                </c:pt>
                <c:pt idx="17">
                  <c:v>81.164176570832538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F-4F6E-93C3-DFCC99B0F31F}"/>
            </c:ext>
          </c:extLst>
        </c:ser>
        <c:ser>
          <c:idx val="1"/>
          <c:order val="1"/>
          <c:tx>
            <c:strRef>
              <c:f>' Decarbonised (NO) scenario'!$L$8</c:f>
              <c:strCache>
                <c:ptCount val="1"/>
                <c:pt idx="0">
                  <c:v>5000 hour replacement 1 (NO avg)</c:v>
                </c:pt>
              </c:strCache>
            </c:strRef>
          </c:tx>
          <c:invertIfNegative val="0"/>
          <c:cat>
            <c:strRef>
              <c:f>' Decarbonised (NO) scenario'!$J$9:$J$26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 Decarbonised (NO) scenario'!$L$9:$L$26</c:f>
              <c:numCache>
                <c:formatCode>0.####</c:formatCode>
                <c:ptCount val="18"/>
                <c:pt idx="0" formatCode="#">
                  <c:v>100</c:v>
                </c:pt>
                <c:pt idx="1">
                  <c:v>98.397948321687295</c:v>
                </c:pt>
                <c:pt idx="2" formatCode="#">
                  <c:v>100</c:v>
                </c:pt>
                <c:pt idx="3" formatCode="#">
                  <c:v>100</c:v>
                </c:pt>
                <c:pt idx="4" formatCode="#">
                  <c:v>100</c:v>
                </c:pt>
                <c:pt idx="5" formatCode="#">
                  <c:v>100</c:v>
                </c:pt>
                <c:pt idx="6" formatCode="#">
                  <c:v>100</c:v>
                </c:pt>
                <c:pt idx="7" formatCode="#">
                  <c:v>100</c:v>
                </c:pt>
                <c:pt idx="8" formatCode="#">
                  <c:v>100</c:v>
                </c:pt>
                <c:pt idx="9" formatCode="#">
                  <c:v>100</c:v>
                </c:pt>
                <c:pt idx="10" formatCode="#">
                  <c:v>100</c:v>
                </c:pt>
                <c:pt idx="11">
                  <c:v>91.879334584415332</c:v>
                </c:pt>
                <c:pt idx="12">
                  <c:v>89.125795941330281</c:v>
                </c:pt>
                <c:pt idx="13" formatCode="#">
                  <c:v>100</c:v>
                </c:pt>
                <c:pt idx="14">
                  <c:v>94.849843955819608</c:v>
                </c:pt>
                <c:pt idx="15">
                  <c:v>75.254292754253726</c:v>
                </c:pt>
                <c:pt idx="16" formatCode="#">
                  <c:v>100</c:v>
                </c:pt>
                <c:pt idx="17" formatCode="#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F-4F6E-93C3-DFCC99B0F31F}"/>
            </c:ext>
          </c:extLst>
        </c:ser>
        <c:ser>
          <c:idx val="2"/>
          <c:order val="2"/>
          <c:tx>
            <c:strRef>
              <c:f>' Decarbonised (NO) scenario'!$M$8</c:f>
              <c:strCache>
                <c:ptCount val="1"/>
                <c:pt idx="0">
                  <c:v>5000 hour replacement 2 (NO avg)</c:v>
                </c:pt>
              </c:strCache>
            </c:strRef>
          </c:tx>
          <c:invertIfNegative val="0"/>
          <c:cat>
            <c:strRef>
              <c:f>' Decarbonised (NO) scenario'!$J$9:$J$26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 Decarbonised (NO) scenario'!$M$9:$M$26</c:f>
              <c:numCache>
                <c:formatCode>0.####</c:formatCode>
                <c:ptCount val="18"/>
                <c:pt idx="0">
                  <c:v>91.447103315027661</c:v>
                </c:pt>
                <c:pt idx="1">
                  <c:v>96.642564007001255</c:v>
                </c:pt>
                <c:pt idx="2">
                  <c:v>91.314487337066097</c:v>
                </c:pt>
                <c:pt idx="3">
                  <c:v>88.91410406080162</c:v>
                </c:pt>
                <c:pt idx="4">
                  <c:v>92.689205923519722</c:v>
                </c:pt>
                <c:pt idx="5">
                  <c:v>89.422656155887395</c:v>
                </c:pt>
                <c:pt idx="6">
                  <c:v>91.360550441171327</c:v>
                </c:pt>
                <c:pt idx="7" formatCode="0.###">
                  <c:v>91.581097569508131</c:v>
                </c:pt>
                <c:pt idx="8">
                  <c:v>93.565153858004422</c:v>
                </c:pt>
                <c:pt idx="9">
                  <c:v>93.87955025323167</c:v>
                </c:pt>
                <c:pt idx="10">
                  <c:v>93.908301424056035</c:v>
                </c:pt>
                <c:pt idx="11">
                  <c:v>92.944184528436054</c:v>
                </c:pt>
                <c:pt idx="12">
                  <c:v>91.156325073519582</c:v>
                </c:pt>
                <c:pt idx="13">
                  <c:v>89.908567436954073</c:v>
                </c:pt>
                <c:pt idx="14">
                  <c:v>94.604404499633191</c:v>
                </c:pt>
                <c:pt idx="15">
                  <c:v>81.335904997639389</c:v>
                </c:pt>
                <c:pt idx="16">
                  <c:v>93.845765803980129</c:v>
                </c:pt>
                <c:pt idx="17">
                  <c:v>92.329514216156554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F-4F6E-93C3-DFCC99B0F31F}"/>
            </c:ext>
          </c:extLst>
        </c:ser>
        <c:ser>
          <c:idx val="3"/>
          <c:order val="3"/>
          <c:tx>
            <c:strRef>
              <c:f>' Decarbonised (NO) scenario'!$N$8</c:f>
              <c:strCache>
                <c:ptCount val="1"/>
                <c:pt idx="0">
                  <c:v>5000 hour replacement 3 (NO avg)</c:v>
                </c:pt>
              </c:strCache>
            </c:strRef>
          </c:tx>
          <c:invertIfNegative val="0"/>
          <c:cat>
            <c:strRef>
              <c:f>' Decarbonised (NO) scenario'!$J$9:$J$26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 Decarbonised (NO) scenario'!$N$9:$N$26</c:f>
              <c:numCache>
                <c:formatCode>#</c:formatCode>
                <c:ptCount val="18"/>
                <c:pt idx="0" formatCode="0.####">
                  <c:v>91.438456453405919</c:v>
                </c:pt>
                <c:pt idx="1">
                  <c:v>100</c:v>
                </c:pt>
                <c:pt idx="2" formatCode="0.####">
                  <c:v>91.051408522510158</c:v>
                </c:pt>
                <c:pt idx="3" formatCode="0.####">
                  <c:v>92.082763515069914</c:v>
                </c:pt>
                <c:pt idx="4" formatCode="0.####">
                  <c:v>86.558851387438068</c:v>
                </c:pt>
                <c:pt idx="5" formatCode="0.####">
                  <c:v>92.653581428851211</c:v>
                </c:pt>
                <c:pt idx="6" formatCode="0.####">
                  <c:v>90.745462155814906</c:v>
                </c:pt>
                <c:pt idx="7" formatCode="0.###">
                  <c:v>91.587016098405073</c:v>
                </c:pt>
                <c:pt idx="8" formatCode="0.####">
                  <c:v>94.886264552220084</c:v>
                </c:pt>
                <c:pt idx="9" formatCode="0.####">
                  <c:v>98.67627178475513</c:v>
                </c:pt>
                <c:pt idx="10" formatCode="0.####">
                  <c:v>98.725259620870659</c:v>
                </c:pt>
                <c:pt idx="11" formatCode="0.####">
                  <c:v>99.07239789650329</c:v>
                </c:pt>
                <c:pt idx="12" formatCode="0.####">
                  <c:v>97.361810163808826</c:v>
                </c:pt>
                <c:pt idx="13" formatCode="0.###">
                  <c:v>90.998017721081354</c:v>
                </c:pt>
                <c:pt idx="14">
                  <c:v>100</c:v>
                </c:pt>
                <c:pt idx="15" formatCode="0.####">
                  <c:v>90.770821838387334</c:v>
                </c:pt>
                <c:pt idx="16" formatCode="0.####">
                  <c:v>93.246487774357149</c:v>
                </c:pt>
                <c:pt idx="17" formatCode="0.####">
                  <c:v>92.682374181724057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8F-4F6E-93C3-DFCC99B0F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13648"/>
        <c:axId val="329120864"/>
      </c:barChart>
      <c:catAx>
        <c:axId val="32911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9120864"/>
        <c:crosses val="autoZero"/>
        <c:auto val="1"/>
        <c:lblAlgn val="ctr"/>
        <c:lblOffset val="100"/>
        <c:noMultiLvlLbl val="0"/>
      </c:catAx>
      <c:valAx>
        <c:axId val="329120864"/>
        <c:scaling>
          <c:orientation val="minMax"/>
          <c:max val="100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329113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Decarbonised (NO) scenario'!$B$63</c:f>
              <c:strCache>
                <c:ptCount val="1"/>
                <c:pt idx="0">
                  <c:v>2012 LED lamp, no replacement</c:v>
                </c:pt>
              </c:strCache>
            </c:strRef>
          </c:tx>
          <c:invertIfNegative val="0"/>
          <c:cat>
            <c:strRef>
              <c:f>' Decarbonised (NO) scenario'!$A$64:$A$81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 Decarbonised (NO) scenario'!$B$64:$B$81</c:f>
              <c:numCache>
                <c:formatCode>0.####</c:formatCode>
                <c:ptCount val="18"/>
                <c:pt idx="0" formatCode="0.###">
                  <c:v>2.0958967694176393E-3</c:v>
                </c:pt>
                <c:pt idx="1">
                  <c:v>1.4313299818122997E-4</c:v>
                </c:pt>
                <c:pt idx="2" formatCode="0.###">
                  <c:v>4.009249167473891E-3</c:v>
                </c:pt>
                <c:pt idx="3">
                  <c:v>9.2246088260899015E-2</c:v>
                </c:pt>
                <c:pt idx="4">
                  <c:v>1.8104281541797532E-3</c:v>
                </c:pt>
                <c:pt idx="5">
                  <c:v>0.10356940209836583</c:v>
                </c:pt>
                <c:pt idx="6">
                  <c:v>1.4518436383679988E-3</c:v>
                </c:pt>
                <c:pt idx="7">
                  <c:v>4.4310980022158287E-3</c:v>
                </c:pt>
                <c:pt idx="8">
                  <c:v>6.6415051056787028E-4</c:v>
                </c:pt>
                <c:pt idx="9" formatCode="0.###">
                  <c:v>0.1950158690342155</c:v>
                </c:pt>
                <c:pt idx="10">
                  <c:v>0.22844449753793653</c:v>
                </c:pt>
                <c:pt idx="11">
                  <c:v>8.2355107470971146E-4</c:v>
                </c:pt>
                <c:pt idx="12" formatCode="0.###">
                  <c:v>1.0073451987295113E-3</c:v>
                </c:pt>
                <c:pt idx="13">
                  <c:v>9.7338043931220579E-4</c:v>
                </c:pt>
                <c:pt idx="14">
                  <c:v>4.9384844987025951E-2</c:v>
                </c:pt>
                <c:pt idx="15" formatCode="0">
                  <c:v>0</c:v>
                </c:pt>
                <c:pt idx="16">
                  <c:v>1.7644561367749379E-2</c:v>
                </c:pt>
                <c:pt idx="17">
                  <c:v>3.653299032976961E-3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9-49D4-BC13-C53B8EED908C}"/>
            </c:ext>
          </c:extLst>
        </c:ser>
        <c:ser>
          <c:idx val="1"/>
          <c:order val="1"/>
          <c:tx>
            <c:strRef>
              <c:f>' Decarbonised (NO) scenario'!$C$63</c:f>
              <c:strCache>
                <c:ptCount val="1"/>
                <c:pt idx="0">
                  <c:v>Replacement 1</c:v>
                </c:pt>
              </c:strCache>
            </c:strRef>
          </c:tx>
          <c:invertIfNegative val="0"/>
          <c:cat>
            <c:strRef>
              <c:f>' Decarbonised (NO) scenario'!$A$64:$A$81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 Decarbonised (NO) scenario'!$C$64:$C$81</c:f>
              <c:numCache>
                <c:formatCode>0.####</c:formatCode>
                <c:ptCount val="18"/>
                <c:pt idx="0">
                  <c:v>2.6324436916287009E-3</c:v>
                </c:pt>
                <c:pt idx="1">
                  <c:v>1.4542842226251271E-4</c:v>
                </c:pt>
                <c:pt idx="2">
                  <c:v>5.1193965072430818E-3</c:v>
                </c:pt>
                <c:pt idx="3">
                  <c:v>0.12485132409225221</c:v>
                </c:pt>
                <c:pt idx="4">
                  <c:v>2.4962703399810577E-3</c:v>
                </c:pt>
                <c:pt idx="5">
                  <c:v>0.13777874504828666</c:v>
                </c:pt>
                <c:pt idx="6">
                  <c:v>1.8901862064068654E-3</c:v>
                </c:pt>
                <c:pt idx="7">
                  <c:v>5.6030571458304899E-3</c:v>
                </c:pt>
                <c:pt idx="8">
                  <c:v>7.8479959667914769E-4</c:v>
                </c:pt>
                <c:pt idx="9">
                  <c:v>0.22124038347182887</c:v>
                </c:pt>
                <c:pt idx="10">
                  <c:v>0.25959713286035807</c:v>
                </c:pt>
                <c:pt idx="11">
                  <c:v>7.5667324740608327E-4</c:v>
                </c:pt>
                <c:pt idx="12">
                  <c:v>8.978044262444515E-4</c:v>
                </c:pt>
                <c:pt idx="13">
                  <c:v>1.2889837931650367E-3</c:v>
                </c:pt>
                <c:pt idx="14">
                  <c:v>4.7396533514946639E-2</c:v>
                </c:pt>
                <c:pt idx="15" formatCode="0">
                  <c:v>0</c:v>
                </c:pt>
                <c:pt idx="16">
                  <c:v>2.1884863638973972E-2</c:v>
                </c:pt>
                <c:pt idx="17">
                  <c:v>4.5011225239114001E-3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99-49D4-BC13-C53B8EED908C}"/>
            </c:ext>
          </c:extLst>
        </c:ser>
        <c:ser>
          <c:idx val="2"/>
          <c:order val="2"/>
          <c:tx>
            <c:strRef>
              <c:f>' Decarbonised (NO) scenario'!$D$63</c:f>
              <c:strCache>
                <c:ptCount val="1"/>
                <c:pt idx="0">
                  <c:v>Replacement 2</c:v>
                </c:pt>
              </c:strCache>
            </c:strRef>
          </c:tx>
          <c:invertIfNegative val="0"/>
          <c:cat>
            <c:strRef>
              <c:f>' Decarbonised (NO) scenario'!$A$64:$A$81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 Decarbonised (NO) scenario'!$D$64:$D$81</c:f>
              <c:numCache>
                <c:formatCode>0.####</c:formatCode>
                <c:ptCount val="18"/>
                <c:pt idx="0">
                  <c:v>2.4072935023936259E-3</c:v>
                </c:pt>
                <c:pt idx="1">
                  <c:v>1.4283403106123921E-4</c:v>
                </c:pt>
                <c:pt idx="2">
                  <c:v>4.6747506753406663E-3</c:v>
                </c:pt>
                <c:pt idx="3" formatCode="0.###">
                  <c:v>0.11101043622467408</c:v>
                </c:pt>
                <c:pt idx="4">
                  <c:v>2.3137731558327867E-3</c:v>
                </c:pt>
                <c:pt idx="5">
                  <c:v>0.12320541344042603</c:v>
                </c:pt>
                <c:pt idx="6">
                  <c:v>1.7268845225364045E-3</c:v>
                </c:pt>
                <c:pt idx="7">
                  <c:v>5.1313412315983171E-3</c:v>
                </c:pt>
                <c:pt idx="8">
                  <c:v>7.3429895010984679E-4</c:v>
                </c:pt>
                <c:pt idx="9">
                  <c:v>0.20769947698187827</c:v>
                </c:pt>
                <c:pt idx="10">
                  <c:v>0.2437832580147116</c:v>
                </c:pt>
                <c:pt idx="11">
                  <c:v>7.6544283056411279E-4</c:v>
                </c:pt>
                <c:pt idx="12">
                  <c:v>9.1825886396636593E-4</c:v>
                </c:pt>
                <c:pt idx="13">
                  <c:v>1.1589068629291952E-3</c:v>
                </c:pt>
                <c:pt idx="14">
                  <c:v>4.7273887246636143E-2</c:v>
                </c:pt>
                <c:pt idx="15" formatCode="0">
                  <c:v>0</c:v>
                </c:pt>
                <c:pt idx="16">
                  <c:v>2.0538017877151926E-2</c:v>
                </c:pt>
                <c:pt idx="17">
                  <c:v>4.1558645606014069E-3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99-49D4-BC13-C53B8EED908C}"/>
            </c:ext>
          </c:extLst>
        </c:ser>
        <c:ser>
          <c:idx val="3"/>
          <c:order val="3"/>
          <c:tx>
            <c:strRef>
              <c:f>' Decarbonised (NO) scenario'!$E$63</c:f>
              <c:strCache>
                <c:ptCount val="1"/>
                <c:pt idx="0">
                  <c:v>Replacement 3</c:v>
                </c:pt>
              </c:strCache>
            </c:strRef>
          </c:tx>
          <c:invertIfNegative val="0"/>
          <c:cat>
            <c:strRef>
              <c:f>' Decarbonised (NO) scenario'!$A$64:$A$81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 Decarbonised (NO) scenario'!$E$64:$E$81</c:f>
              <c:numCache>
                <c:formatCode>0.####</c:formatCode>
                <c:ptCount val="18"/>
                <c:pt idx="0">
                  <c:v>2.4070658786303468E-3</c:v>
                </c:pt>
                <c:pt idx="1">
                  <c:v>1.4779619366358276E-4</c:v>
                </c:pt>
                <c:pt idx="2">
                  <c:v>4.6612826276969874E-3</c:v>
                </c:pt>
                <c:pt idx="3">
                  <c:v>0.1149665495093023</c:v>
                </c:pt>
                <c:pt idx="4">
                  <c:v>2.1607429338128844E-3</c:v>
                </c:pt>
                <c:pt idx="5">
                  <c:v>0.12765694173496314</c:v>
                </c:pt>
                <c:pt idx="6">
                  <c:v>1.7152582086093738E-3</c:v>
                </c:pt>
                <c:pt idx="7">
                  <c:v>5.1316728501546111E-3</c:v>
                </c:pt>
                <c:pt idx="8">
                  <c:v>7.4466702150973178E-4</c:v>
                </c:pt>
                <c:pt idx="9">
                  <c:v>0.21831176209229675</c:v>
                </c:pt>
                <c:pt idx="10">
                  <c:v>0.25628794338472499</c:v>
                </c:pt>
                <c:pt idx="11">
                  <c:v>8.1591179761733405E-4</c:v>
                </c:pt>
                <c:pt idx="12">
                  <c:v>9.8076952008126954E-4</c:v>
                </c:pt>
                <c:pt idx="13">
                  <c:v>1.1729497005261867E-3</c:v>
                </c:pt>
                <c:pt idx="14">
                  <c:v>4.9970070100509245E-2</c:v>
                </c:pt>
                <c:pt idx="15" formatCode="0">
                  <c:v>0</c:v>
                </c:pt>
                <c:pt idx="16">
                  <c:v>2.04068666975506E-2</c:v>
                </c:pt>
                <c:pt idx="17">
                  <c:v>4.1717472199894285E-3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99-49D4-BC13-C53B8EED9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645080"/>
        <c:axId val="425646720"/>
      </c:barChart>
      <c:catAx>
        <c:axId val="425645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5646720"/>
        <c:crosses val="autoZero"/>
        <c:auto val="1"/>
        <c:lblAlgn val="ctr"/>
        <c:lblOffset val="100"/>
        <c:noMultiLvlLbl val="0"/>
      </c:catAx>
      <c:valAx>
        <c:axId val="425646720"/>
        <c:scaling>
          <c:orientation val="minMax"/>
        </c:scaling>
        <c:delete val="0"/>
        <c:axPos val="l"/>
        <c:majorGridlines/>
        <c:numFmt formatCode="0.###" sourceLinked="1"/>
        <c:majorTickMark val="out"/>
        <c:minorTickMark val="none"/>
        <c:tickLblPos val="nextTo"/>
        <c:crossAx val="425645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Decarbonised (NO) scenario'!$K$32</c:f>
              <c:strCache>
                <c:ptCount val="1"/>
                <c:pt idx="0">
                  <c:v>Replacement 1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 Decarbonised (NO) scenario'!$J$33:$J$50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 Decarbonised (NO) scenario'!$K$33:$K$50</c:f>
              <c:numCache>
                <c:formatCode>0</c:formatCode>
                <c:ptCount val="18"/>
                <c:pt idx="0">
                  <c:v>120.38208543329179</c:v>
                </c:pt>
                <c:pt idx="1">
                  <c:v>101.5531009455546</c:v>
                </c:pt>
                <c:pt idx="2">
                  <c:v>121.6851212481492</c:v>
                </c:pt>
                <c:pt idx="3">
                  <c:v>126.1152503334779</c:v>
                </c:pt>
                <c:pt idx="4">
                  <c:v>127.474675912165</c:v>
                </c:pt>
                <c:pt idx="5">
                  <c:v>124.8291875048883</c:v>
                </c:pt>
                <c:pt idx="6">
                  <c:v>123.1904437008948</c:v>
                </c:pt>
                <c:pt idx="7">
                  <c:v>120.9164231795631</c:v>
                </c:pt>
                <c:pt idx="8">
                  <c:v>115.37323497894221</c:v>
                </c:pt>
                <c:pt idx="9">
                  <c:v>111.85340308405</c:v>
                </c:pt>
                <c:pt idx="10">
                  <c:v>112.00037726887331</c:v>
                </c:pt>
                <c:pt idx="11">
                  <c:v>91.879334584415332</c:v>
                </c:pt>
                <c:pt idx="12">
                  <c:v>89.125795941330296</c:v>
                </c:pt>
                <c:pt idx="13">
                  <c:v>124.4846642390965</c:v>
                </c:pt>
                <c:pt idx="14">
                  <c:v>96.020995231585658</c:v>
                </c:pt>
                <c:pt idx="15">
                  <c:v>75.254292754253697</c:v>
                </c:pt>
                <c:pt idx="16">
                  <c:v>119.37550236170159</c:v>
                </c:pt>
                <c:pt idx="17">
                  <c:v>118.8358234291675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3-4BAC-AF7D-3CCB151C3A42}"/>
            </c:ext>
          </c:extLst>
        </c:ser>
        <c:ser>
          <c:idx val="1"/>
          <c:order val="1"/>
          <c:tx>
            <c:strRef>
              <c:f>' Decarbonised (NO) scenario'!$L$32</c:f>
              <c:strCache>
                <c:ptCount val="1"/>
                <c:pt idx="0">
                  <c:v>Replacement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Decarbonised (NO) scenario'!$J$33:$J$50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 Decarbonised (NO) scenario'!$L$33:$L$50</c:f>
              <c:numCache>
                <c:formatCode>0</c:formatCode>
                <c:ptCount val="18"/>
                <c:pt idx="0">
                  <c:v>111.8291887483195</c:v>
                </c:pt>
                <c:pt idx="1">
                  <c:v>99.797716630868564</c:v>
                </c:pt>
                <c:pt idx="2">
                  <c:v>112.9996085852153</c:v>
                </c:pt>
                <c:pt idx="3">
                  <c:v>115.02935439427949</c:v>
                </c:pt>
                <c:pt idx="4">
                  <c:v>120.1638818356848</c:v>
                </c:pt>
                <c:pt idx="5">
                  <c:v>114.25184366077571</c:v>
                </c:pt>
                <c:pt idx="6">
                  <c:v>114.5509941420661</c:v>
                </c:pt>
                <c:pt idx="7">
                  <c:v>112.4975207490712</c:v>
                </c:pt>
                <c:pt idx="8">
                  <c:v>108.93838883694661</c:v>
                </c:pt>
                <c:pt idx="9">
                  <c:v>105.73295333728166</c:v>
                </c:pt>
                <c:pt idx="10">
                  <c:v>105.90867869292937</c:v>
                </c:pt>
                <c:pt idx="11">
                  <c:v>92.944184528436054</c:v>
                </c:pt>
                <c:pt idx="12">
                  <c:v>91.156325073519582</c:v>
                </c:pt>
                <c:pt idx="13">
                  <c:v>114.3932316760506</c:v>
                </c:pt>
                <c:pt idx="14">
                  <c:v>95.775555775399241</c:v>
                </c:pt>
                <c:pt idx="15">
                  <c:v>81.335904997639403</c:v>
                </c:pt>
                <c:pt idx="16">
                  <c:v>113.22126816568169</c:v>
                </c:pt>
                <c:pt idx="17">
                  <c:v>111.165337645324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03-4BAC-AF7D-3CCB151C3A42}"/>
            </c:ext>
          </c:extLst>
        </c:ser>
        <c:ser>
          <c:idx val="2"/>
          <c:order val="2"/>
          <c:tx>
            <c:strRef>
              <c:f>' Decarbonised (NO) scenario'!$M$32</c:f>
              <c:strCache>
                <c:ptCount val="1"/>
                <c:pt idx="0">
                  <c:v>Replacement 3</c:v>
                </c:pt>
              </c:strCache>
            </c:strRef>
          </c:tx>
          <c:spPr>
            <a:pattFill prst="pct60">
              <a:fgClr>
                <a:schemeClr val="accent6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 Decarbonised (NO) scenario'!$J$33:$J$50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 Decarbonised (NO) scenario'!$M$33:$M$50</c:f>
              <c:numCache>
                <c:formatCode>0</c:formatCode>
                <c:ptCount val="18"/>
                <c:pt idx="0">
                  <c:v>111.8205418866978</c:v>
                </c:pt>
                <c:pt idx="1">
                  <c:v>103.15515262386731</c:v>
                </c:pt>
                <c:pt idx="2">
                  <c:v>112.7365297706593</c:v>
                </c:pt>
                <c:pt idx="3">
                  <c:v>118.1980138485478</c:v>
                </c:pt>
                <c:pt idx="4">
                  <c:v>114.03352729960309</c:v>
                </c:pt>
                <c:pt idx="5">
                  <c:v>117.48276893373949</c:v>
                </c:pt>
                <c:pt idx="6">
                  <c:v>113.9359058567097</c:v>
                </c:pt>
                <c:pt idx="7">
                  <c:v>112.5034392779682</c:v>
                </c:pt>
                <c:pt idx="8">
                  <c:v>110.25949953116231</c:v>
                </c:pt>
                <c:pt idx="9">
                  <c:v>110.5296748688051</c:v>
                </c:pt>
                <c:pt idx="10">
                  <c:v>110.725636889744</c:v>
                </c:pt>
                <c:pt idx="11">
                  <c:v>99.07239789650329</c:v>
                </c:pt>
                <c:pt idx="12">
                  <c:v>97.361810163808826</c:v>
                </c:pt>
                <c:pt idx="13">
                  <c:v>115.4826819601779</c:v>
                </c:pt>
                <c:pt idx="14">
                  <c:v>101.17115127576605</c:v>
                </c:pt>
                <c:pt idx="15">
                  <c:v>90.770821838387334</c:v>
                </c:pt>
                <c:pt idx="16">
                  <c:v>112.6219901360588</c:v>
                </c:pt>
                <c:pt idx="17">
                  <c:v>111.51819761089151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03-4BAC-AF7D-3CCB151C3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9401416"/>
        <c:axId val="249398136"/>
      </c:barChart>
      <c:catAx>
        <c:axId val="24940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398136"/>
        <c:crossesAt val="100"/>
        <c:auto val="1"/>
        <c:lblAlgn val="ctr"/>
        <c:lblOffset val="100"/>
        <c:noMultiLvlLbl val="0"/>
      </c:catAx>
      <c:valAx>
        <c:axId val="249398136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% impact (25000h=100%)</a:t>
                </a:r>
                <a:endParaRPr lang="sv-SE" sz="12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40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'Decarbonised (SE) scenario'!$L$8</c:f>
              <c:strCache>
                <c:ptCount val="1"/>
                <c:pt idx="0">
                  <c:v>2012 Product 0 (SE avg)</c:v>
                </c:pt>
              </c:strCache>
            </c:strRef>
          </c:tx>
          <c:invertIfNegative val="0"/>
          <c:cat>
            <c:strRef>
              <c:f>'Decarbonised (SE) scenario'!$K$9:$K$26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scenario'!$L$9:$L$26</c:f>
              <c:numCache>
                <c:formatCode>#</c:formatCode>
                <c:ptCount val="18"/>
                <c:pt idx="0" formatCode="0.####">
                  <c:v>87.781487140565943</c:v>
                </c:pt>
                <c:pt idx="1">
                  <c:v>100</c:v>
                </c:pt>
                <c:pt idx="2" formatCode="0.####">
                  <c:v>90.002838715527957</c:v>
                </c:pt>
                <c:pt idx="3" formatCode="0.####">
                  <c:v>75.888282837223713</c:v>
                </c:pt>
                <c:pt idx="4" formatCode="0.####">
                  <c:v>84.821971042933598</c:v>
                </c:pt>
                <c:pt idx="5" formatCode="0.####">
                  <c:v>78.278179816095161</c:v>
                </c:pt>
                <c:pt idx="6" formatCode="0.####">
                  <c:v>92.626526178155814</c:v>
                </c:pt>
                <c:pt idx="7" formatCode="0.####">
                  <c:v>88.623983439127798</c:v>
                </c:pt>
                <c:pt idx="8" formatCode="0.####">
                  <c:v>99.587322854722672</c:v>
                </c:pt>
                <c:pt idx="9" formatCode="0.####">
                  <c:v>89.280353471985734</c:v>
                </c:pt>
                <c:pt idx="10" formatCode="0.####">
                  <c:v>89.420294662232195</c:v>
                </c:pt>
                <c:pt idx="11">
                  <c:v>100</c:v>
                </c:pt>
                <c:pt idx="12">
                  <c:v>100</c:v>
                </c:pt>
                <c:pt idx="13" formatCode="0.####">
                  <c:v>96.323129273472503</c:v>
                </c:pt>
                <c:pt idx="14">
                  <c:v>100</c:v>
                </c:pt>
                <c:pt idx="15">
                  <c:v>100</c:v>
                </c:pt>
                <c:pt idx="16" formatCode="0.####">
                  <c:v>83.356367030847409</c:v>
                </c:pt>
                <c:pt idx="17" formatCode="0.####">
                  <c:v>88.50066031693909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9-4D88-BB6F-AB6831D47F82}"/>
            </c:ext>
          </c:extLst>
        </c:ser>
        <c:ser>
          <c:idx val="1"/>
          <c:order val="1"/>
          <c:tx>
            <c:strRef>
              <c:f>'Decarbonised (SE) scenario'!$N$8</c:f>
              <c:strCache>
                <c:ptCount val="1"/>
                <c:pt idx="0">
                  <c:v>5000 hour replacement 1 (SE avg)</c:v>
                </c:pt>
              </c:strCache>
            </c:strRef>
          </c:tx>
          <c:invertIfNegative val="0"/>
          <c:cat>
            <c:strRef>
              <c:f>'Decarbonised (SE) scenario'!$K$9:$K$26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scenario'!$N$9:$N$26</c:f>
              <c:numCache>
                <c:formatCode>0.####</c:formatCode>
                <c:ptCount val="18"/>
                <c:pt idx="0" formatCode="#">
                  <c:v>100</c:v>
                </c:pt>
                <c:pt idx="1">
                  <c:v>78.771801510595012</c:v>
                </c:pt>
                <c:pt idx="2" formatCode="#">
                  <c:v>100</c:v>
                </c:pt>
                <c:pt idx="3" formatCode="#">
                  <c:v>100</c:v>
                </c:pt>
                <c:pt idx="4" formatCode="#">
                  <c:v>100</c:v>
                </c:pt>
                <c:pt idx="5" formatCode="#">
                  <c:v>100</c:v>
                </c:pt>
                <c:pt idx="6" formatCode="#">
                  <c:v>100</c:v>
                </c:pt>
                <c:pt idx="7" formatCode="#">
                  <c:v>100</c:v>
                </c:pt>
                <c:pt idx="8">
                  <c:v>94.24196302690342</c:v>
                </c:pt>
                <c:pt idx="9" formatCode="#">
                  <c:v>100</c:v>
                </c:pt>
                <c:pt idx="10" formatCode="#">
                  <c:v>100</c:v>
                </c:pt>
                <c:pt idx="11" formatCode="0.###">
                  <c:v>75.18606743809157</c:v>
                </c:pt>
                <c:pt idx="12">
                  <c:v>75.753958110926504</c:v>
                </c:pt>
                <c:pt idx="13">
                  <c:v>96.631324983766788</c:v>
                </c:pt>
                <c:pt idx="14">
                  <c:v>91.806798952809459</c:v>
                </c:pt>
                <c:pt idx="15" formatCode="0.###">
                  <c:v>77.778041681857772</c:v>
                </c:pt>
                <c:pt idx="16" formatCode="#">
                  <c:v>100</c:v>
                </c:pt>
                <c:pt idx="17" formatCode="#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9-4D88-BB6F-AB6831D47F82}"/>
            </c:ext>
          </c:extLst>
        </c:ser>
        <c:ser>
          <c:idx val="2"/>
          <c:order val="2"/>
          <c:tx>
            <c:strRef>
              <c:f>'Decarbonised (SE) scenario'!$P$8</c:f>
              <c:strCache>
                <c:ptCount val="1"/>
                <c:pt idx="0">
                  <c:v>5000 hour replacement 2 (SE avg)</c:v>
                </c:pt>
              </c:strCache>
            </c:strRef>
          </c:tx>
          <c:invertIfNegative val="0"/>
          <c:cat>
            <c:strRef>
              <c:f>'Decarbonised (SE) scenario'!$K$9:$K$26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scenario'!$P$9:$P$26</c:f>
              <c:numCache>
                <c:formatCode>0.####</c:formatCode>
                <c:ptCount val="18"/>
                <c:pt idx="0">
                  <c:v>93.989151597142182</c:v>
                </c:pt>
                <c:pt idx="1">
                  <c:v>83.790395929757779</c:v>
                </c:pt>
                <c:pt idx="2">
                  <c:v>94.896887641409421</c:v>
                </c:pt>
                <c:pt idx="3">
                  <c:v>89.56281295678474</c:v>
                </c:pt>
                <c:pt idx="4">
                  <c:v>95.830479049893313</c:v>
                </c:pt>
                <c:pt idx="5">
                  <c:v>90.423918095696749</c:v>
                </c:pt>
                <c:pt idx="6">
                  <c:v>96.068700053196423</c:v>
                </c:pt>
                <c:pt idx="7">
                  <c:v>94.499900968122901</c:v>
                </c:pt>
                <c:pt idx="8">
                  <c:v>94.130246774459252</c:v>
                </c:pt>
                <c:pt idx="9" formatCode="0.###">
                  <c:v>94.238084261800765</c:v>
                </c:pt>
                <c:pt idx="10">
                  <c:v>94.355255978341333</c:v>
                </c:pt>
                <c:pt idx="11">
                  <c:v>81.276235452318403</c:v>
                </c:pt>
                <c:pt idx="12">
                  <c:v>81.684853641559698</c:v>
                </c:pt>
                <c:pt idx="13">
                  <c:v>94.255130900636615</c:v>
                </c:pt>
                <c:pt idx="14">
                  <c:v>92.828534648708512</c:v>
                </c:pt>
                <c:pt idx="15">
                  <c:v>83.140252103617158</c:v>
                </c:pt>
                <c:pt idx="16">
                  <c:v>94.590151601077665</c:v>
                </c:pt>
                <c:pt idx="17">
                  <c:v>94.558576775326785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9-4D88-BB6F-AB6831D47F82}"/>
            </c:ext>
          </c:extLst>
        </c:ser>
        <c:ser>
          <c:idx val="3"/>
          <c:order val="3"/>
          <c:tx>
            <c:strRef>
              <c:f>'Decarbonised (SE) scenario'!$R$8</c:f>
              <c:strCache>
                <c:ptCount val="1"/>
                <c:pt idx="0">
                  <c:v>5000 hour replacement 3 (SE avg)</c:v>
                </c:pt>
              </c:strCache>
            </c:strRef>
          </c:tx>
          <c:invertIfNegative val="0"/>
          <c:cat>
            <c:strRef>
              <c:f>'Decarbonised (SE) scenario'!$K$9:$K$26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scenario'!$R$9:$R$26</c:f>
              <c:numCache>
                <c:formatCode>0.####</c:formatCode>
                <c:ptCount val="18"/>
                <c:pt idx="0">
                  <c:v>95.908261872142475</c:v>
                </c:pt>
                <c:pt idx="1">
                  <c:v>92.424648275952407</c:v>
                </c:pt>
                <c:pt idx="2">
                  <c:v>97.382682921608094</c:v>
                </c:pt>
                <c:pt idx="3">
                  <c:v>93.054124427440243</c:v>
                </c:pt>
                <c:pt idx="4">
                  <c:v>93.49019860045361</c:v>
                </c:pt>
                <c:pt idx="5">
                  <c:v>94.162880893448971</c:v>
                </c:pt>
                <c:pt idx="6" formatCode="0.###">
                  <c:v>99.173023629308275</c:v>
                </c:pt>
                <c:pt idx="7">
                  <c:v>96.734350549774433</c:v>
                </c:pt>
                <c:pt idx="8" formatCode="#">
                  <c:v>100</c:v>
                </c:pt>
                <c:pt idx="9">
                  <c:v>99.233842535840509</c:v>
                </c:pt>
                <c:pt idx="10">
                  <c:v>99.420205309021497</c:v>
                </c:pt>
                <c:pt idx="11" formatCode="0.##">
                  <c:v>90.740089097408315</c:v>
                </c:pt>
                <c:pt idx="12">
                  <c:v>90.994823674007662</c:v>
                </c:pt>
                <c:pt idx="13" formatCode="#">
                  <c:v>100</c:v>
                </c:pt>
                <c:pt idx="14">
                  <c:v>99.091712244220147</c:v>
                </c:pt>
                <c:pt idx="15">
                  <c:v>92.019347817672198</c:v>
                </c:pt>
                <c:pt idx="16">
                  <c:v>94.678202836847902</c:v>
                </c:pt>
                <c:pt idx="17">
                  <c:v>96.644386015426193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C9-4D88-BB6F-AB6831D47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88256"/>
        <c:axId val="424887928"/>
      </c:barChart>
      <c:catAx>
        <c:axId val="42488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4887928"/>
        <c:crosses val="autoZero"/>
        <c:auto val="1"/>
        <c:lblAlgn val="ctr"/>
        <c:lblOffset val="100"/>
        <c:noMultiLvlLbl val="0"/>
      </c:catAx>
      <c:valAx>
        <c:axId val="424887928"/>
        <c:scaling>
          <c:orientation val="minMax"/>
          <c:max val="100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42488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'Decarbonised (SE) scenario'!$B$42</c:f>
              <c:strCache>
                <c:ptCount val="1"/>
                <c:pt idx="0">
                  <c:v>2012 Product 0 (SE avg)</c:v>
                </c:pt>
              </c:strCache>
            </c:strRef>
          </c:tx>
          <c:invertIfNegative val="0"/>
          <c:cat>
            <c:strRef>
              <c:f>'Decarbonised (SE) scenario'!$A$43:$A$60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scenario'!$B$43:$B$60</c:f>
              <c:numCache>
                <c:formatCode>0.####</c:formatCode>
                <c:ptCount val="18"/>
                <c:pt idx="0">
                  <c:v>2.7170234725088986E-3</c:v>
                </c:pt>
                <c:pt idx="1">
                  <c:v>9.0899562880894123E-4</c:v>
                </c:pt>
                <c:pt idx="2">
                  <c:v>5.8255422717057555E-3</c:v>
                </c:pt>
                <c:pt idx="3" formatCode="0.###">
                  <c:v>9.8001858414004578E-2</c:v>
                </c:pt>
                <c:pt idx="4">
                  <c:v>2.6444697005426326E-3</c:v>
                </c:pt>
                <c:pt idx="5">
                  <c:v>0.11384144592507178</c:v>
                </c:pt>
                <c:pt idx="6">
                  <c:v>2.4166100841727066E-3</c:v>
                </c:pt>
                <c:pt idx="7" formatCode="0.###">
                  <c:v>6.0046614185396306E-3</c:v>
                </c:pt>
                <c:pt idx="8">
                  <c:v>1.4406768694428626E-3</c:v>
                </c:pt>
                <c:pt idx="9">
                  <c:v>0.20250745509141249</c:v>
                </c:pt>
                <c:pt idx="10">
                  <c:v>0.23949387387572654</c:v>
                </c:pt>
                <c:pt idx="11" formatCode="0.###">
                  <c:v>2.1000865733979884E-2</c:v>
                </c:pt>
                <c:pt idx="12">
                  <c:v>1.1789961071982973E-2</c:v>
                </c:pt>
                <c:pt idx="13">
                  <c:v>2.1838627630034694E-3</c:v>
                </c:pt>
                <c:pt idx="14">
                  <c:v>6.1278722554944737E-2</c:v>
                </c:pt>
                <c:pt idx="15" formatCode="0">
                  <c:v>0</c:v>
                </c:pt>
                <c:pt idx="16">
                  <c:v>1.922222824062075E-2</c:v>
                </c:pt>
                <c:pt idx="17">
                  <c:v>4.6227549144512983E-3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7-4EDC-A864-0825A4459E85}"/>
            </c:ext>
          </c:extLst>
        </c:ser>
        <c:ser>
          <c:idx val="1"/>
          <c:order val="1"/>
          <c:tx>
            <c:strRef>
              <c:f>'Decarbonised (SE) scenario'!$C$42</c:f>
              <c:strCache>
                <c:ptCount val="1"/>
                <c:pt idx="0">
                  <c:v>5000 hour replacement 1 (SE avg)</c:v>
                </c:pt>
              </c:strCache>
            </c:strRef>
          </c:tx>
          <c:invertIfNegative val="0"/>
          <c:cat>
            <c:strRef>
              <c:f>'Decarbonised (SE) scenario'!$A$43:$A$60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scenario'!$C$43:$C$60</c:f>
              <c:numCache>
                <c:formatCode>0.####</c:formatCode>
                <c:ptCount val="18"/>
                <c:pt idx="0" formatCode="0.###">
                  <c:v>3.0952123972997625E-3</c:v>
                </c:pt>
                <c:pt idx="1">
                  <c:v>7.1603223246536479E-4</c:v>
                </c:pt>
                <c:pt idx="2">
                  <c:v>6.4726205915777097E-3</c:v>
                </c:pt>
                <c:pt idx="3">
                  <c:v>0.12913964415852353</c:v>
                </c:pt>
                <c:pt idx="4">
                  <c:v>3.1176706554061303E-3</c:v>
                </c:pt>
                <c:pt idx="5">
                  <c:v>0.1454319022140374</c:v>
                </c:pt>
                <c:pt idx="6">
                  <c:v>2.6089827438034664E-3</c:v>
                </c:pt>
                <c:pt idx="7">
                  <c:v>6.7754361579379389E-3</c:v>
                </c:pt>
                <c:pt idx="8">
                  <c:v>1.3633483898529229E-3</c:v>
                </c:pt>
                <c:pt idx="9">
                  <c:v>0.22682196834598781</c:v>
                </c:pt>
                <c:pt idx="10">
                  <c:v>0.2678294393687341</c:v>
                </c:pt>
                <c:pt idx="11">
                  <c:v>1.5789725073333198E-2</c:v>
                </c:pt>
                <c:pt idx="12">
                  <c:v>8.9313621717645366E-3</c:v>
                </c:pt>
                <c:pt idx="13">
                  <c:v>2.1908502554209785E-3</c:v>
                </c:pt>
                <c:pt idx="14">
                  <c:v>5.6258033616867972E-2</c:v>
                </c:pt>
                <c:pt idx="15" formatCode="0">
                  <c:v>0</c:v>
                </c:pt>
                <c:pt idx="16" formatCode="0.###">
                  <c:v>2.3060299921069314E-2</c:v>
                </c:pt>
                <c:pt idx="17">
                  <c:v>5.2234129077639285E-3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7-4EDC-A864-0825A4459E85}"/>
            </c:ext>
          </c:extLst>
        </c:ser>
        <c:ser>
          <c:idx val="2"/>
          <c:order val="2"/>
          <c:tx>
            <c:strRef>
              <c:f>'Decarbonised (SE) scenario'!$D$42</c:f>
              <c:strCache>
                <c:ptCount val="1"/>
                <c:pt idx="0">
                  <c:v>5000 hour replacement 2 (SE avg)</c:v>
                </c:pt>
              </c:strCache>
            </c:strRef>
          </c:tx>
          <c:invertIfNegative val="0"/>
          <c:cat>
            <c:strRef>
              <c:f>'Decarbonised (SE) scenario'!$A$43:$A$60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scenario'!$D$43:$D$60</c:f>
              <c:numCache>
                <c:formatCode>0.####</c:formatCode>
                <c:ptCount val="18"/>
                <c:pt idx="0">
                  <c:v>2.9091638723516169E-3</c:v>
                </c:pt>
                <c:pt idx="1">
                  <c:v>7.6165103636320261E-4</c:v>
                </c:pt>
                <c:pt idx="2">
                  <c:v>6.1423154902442633E-3</c:v>
                </c:pt>
                <c:pt idx="3">
                  <c:v>0.11566109795075563</c:v>
                </c:pt>
                <c:pt idx="4">
                  <c:v>2.9876787242736512E-3</c:v>
                </c:pt>
                <c:pt idx="5">
                  <c:v>0.13150522414303437</c:v>
                </c:pt>
                <c:pt idx="6">
                  <c:v>2.5064158065842058E-3</c:v>
                </c:pt>
                <c:pt idx="7">
                  <c:v>6.4027804594097319E-3</c:v>
                </c:pt>
                <c:pt idx="8">
                  <c:v>1.3617322502055985E-3</c:v>
                </c:pt>
                <c:pt idx="9">
                  <c:v>0.2137526776541662</c:v>
                </c:pt>
                <c:pt idx="10">
                  <c:v>0.25271115310172487</c:v>
                </c:pt>
                <c:pt idx="11" formatCode="0.###">
                  <c:v>1.7068713080974723E-2</c:v>
                </c:pt>
                <c:pt idx="12">
                  <c:v>9.6306124460461724E-3</c:v>
                </c:pt>
                <c:pt idx="13">
                  <c:v>2.1369765719665692E-3</c:v>
                </c:pt>
                <c:pt idx="14">
                  <c:v>5.6884140199202855E-2</c:v>
                </c:pt>
                <c:pt idx="15" formatCode="0">
                  <c:v>0</c:v>
                </c:pt>
                <c:pt idx="16">
                  <c:v>2.181277265500264E-2</c:v>
                </c:pt>
                <c:pt idx="17">
                  <c:v>4.9391849046802848E-3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7-4EDC-A864-0825A4459E85}"/>
            </c:ext>
          </c:extLst>
        </c:ser>
        <c:ser>
          <c:idx val="3"/>
          <c:order val="3"/>
          <c:tx>
            <c:strRef>
              <c:f>'Decarbonised (SE) scenario'!$E$42</c:f>
              <c:strCache>
                <c:ptCount val="1"/>
                <c:pt idx="0">
                  <c:v>5000 hour replacement 3 (SE avg)</c:v>
                </c:pt>
              </c:strCache>
            </c:strRef>
          </c:tx>
          <c:invertIfNegative val="0"/>
          <c:cat>
            <c:strRef>
              <c:f>'Decarbonised (SE) scenario'!$A$43:$A$60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scenario'!$E$43:$E$60</c:f>
              <c:numCache>
                <c:formatCode>0.####</c:formatCode>
                <c:ptCount val="18"/>
                <c:pt idx="0">
                  <c:v>2.9685644115012757E-3</c:v>
                </c:pt>
                <c:pt idx="1">
                  <c:v>8.4013601277044628E-4</c:v>
                </c:pt>
                <c:pt idx="2">
                  <c:v>6.3032115874148888E-3</c:v>
                </c:pt>
                <c:pt idx="3">
                  <c:v>0.1201697651604263</c:v>
                </c:pt>
                <c:pt idx="4">
                  <c:v>2.9147164874472669E-3</c:v>
                </c:pt>
                <c:pt idx="5">
                  <c:v>0.13694286886288132</c:v>
                </c:pt>
                <c:pt idx="6">
                  <c:v>2.5874070729967921E-3</c:v>
                </c:pt>
                <c:pt idx="7">
                  <c:v>6.5541741642958871E-3</c:v>
                </c:pt>
                <c:pt idx="8">
                  <c:v>1.4466468503672115E-3</c:v>
                </c:pt>
                <c:pt idx="9" formatCode="0.###">
                  <c:v>0.22508415490515132</c:v>
                </c:pt>
                <c:pt idx="10">
                  <c:v>0.26627657849839542</c:v>
                </c:pt>
                <c:pt idx="11" formatCode="0.###">
                  <c:v>1.9056204278240438E-2</c:v>
                </c:pt>
                <c:pt idx="12">
                  <c:v>1.0728254288685049E-2</c:v>
                </c:pt>
                <c:pt idx="13">
                  <c:v>2.2672257218754027E-3</c:v>
                </c:pt>
                <c:pt idx="14">
                  <c:v>6.0722135421079723E-2</c:v>
                </c:pt>
                <c:pt idx="15" formatCode="0">
                  <c:v>0</c:v>
                </c:pt>
                <c:pt idx="16">
                  <c:v>2.1833077534055469E-2</c:v>
                </c:pt>
                <c:pt idx="17" formatCode="0.###">
                  <c:v>5.0481353337589567E-3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27-4EDC-A864-0825A4459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377112"/>
        <c:axId val="431373176"/>
      </c:barChart>
      <c:catAx>
        <c:axId val="431377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1373176"/>
        <c:crosses val="autoZero"/>
        <c:auto val="1"/>
        <c:lblAlgn val="ctr"/>
        <c:lblOffset val="100"/>
        <c:noMultiLvlLbl val="0"/>
      </c:catAx>
      <c:valAx>
        <c:axId val="431373176"/>
        <c:scaling>
          <c:orientation val="minMax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431377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'Decarbonised (SE) scenario'!$X$34</c:f>
              <c:strCache>
                <c:ptCount val="1"/>
                <c:pt idx="0">
                  <c:v>Replacement 1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'Decarbonised (SE) scenario'!$Q$35:$Q$52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scenario'!$X$35:$X$52</c:f>
              <c:numCache>
                <c:formatCode>0</c:formatCode>
                <c:ptCount val="18"/>
                <c:pt idx="0">
                  <c:v>112.21851285943406</c:v>
                </c:pt>
                <c:pt idx="1">
                  <c:v>78.771801510595012</c:v>
                </c:pt>
                <c:pt idx="2">
                  <c:v>109.99716128447204</c:v>
                </c:pt>
                <c:pt idx="3">
                  <c:v>124.11171716277629</c:v>
                </c:pt>
                <c:pt idx="4">
                  <c:v>115.1780289570664</c:v>
                </c:pt>
                <c:pt idx="5">
                  <c:v>121.72182018390484</c:v>
                </c:pt>
                <c:pt idx="6">
                  <c:v>107.37347382184419</c:v>
                </c:pt>
                <c:pt idx="7">
                  <c:v>111.3760165608722</c:v>
                </c:pt>
                <c:pt idx="8">
                  <c:v>94.654640172180748</c:v>
                </c:pt>
                <c:pt idx="9">
                  <c:v>110.71964652801427</c:v>
                </c:pt>
                <c:pt idx="10">
                  <c:v>110.57970533776781</c:v>
                </c:pt>
                <c:pt idx="11">
                  <c:v>75.18606743809157</c:v>
                </c:pt>
                <c:pt idx="12">
                  <c:v>75.753958110926504</c:v>
                </c:pt>
                <c:pt idx="13">
                  <c:v>100.30819571029429</c:v>
                </c:pt>
                <c:pt idx="14">
                  <c:v>91.806798952809459</c:v>
                </c:pt>
                <c:pt idx="15">
                  <c:v>77.778041681857772</c:v>
                </c:pt>
                <c:pt idx="16">
                  <c:v>116.64363296915259</c:v>
                </c:pt>
                <c:pt idx="17">
                  <c:v>111.49933968306091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4-4A9C-A310-E15785FA8C7C}"/>
            </c:ext>
          </c:extLst>
        </c:ser>
        <c:ser>
          <c:idx val="1"/>
          <c:order val="1"/>
          <c:tx>
            <c:strRef>
              <c:f>'Decarbonised (SE) scenario'!$Y$34</c:f>
              <c:strCache>
                <c:ptCount val="1"/>
                <c:pt idx="0">
                  <c:v>Replacement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'Decarbonised (SE) scenario'!$Q$35:$Q$52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scenario'!$Y$35:$Y$52</c:f>
              <c:numCache>
                <c:formatCode>0</c:formatCode>
                <c:ptCount val="18"/>
                <c:pt idx="0">
                  <c:v>106.20766445657624</c:v>
                </c:pt>
                <c:pt idx="1">
                  <c:v>83.790395929757779</c:v>
                </c:pt>
                <c:pt idx="2">
                  <c:v>104.89404892588146</c:v>
                </c:pt>
                <c:pt idx="3">
                  <c:v>113.67453011956103</c:v>
                </c:pt>
                <c:pt idx="4">
                  <c:v>111.00850800695972</c:v>
                </c:pt>
                <c:pt idx="5">
                  <c:v>112.14573827960159</c:v>
                </c:pt>
                <c:pt idx="6">
                  <c:v>103.44217387504061</c:v>
                </c:pt>
                <c:pt idx="7">
                  <c:v>105.8759175289951</c:v>
                </c:pt>
                <c:pt idx="8">
                  <c:v>94.54292391973658</c:v>
                </c:pt>
                <c:pt idx="9">
                  <c:v>104.95773078981503</c:v>
                </c:pt>
                <c:pt idx="10">
                  <c:v>104.93496131610914</c:v>
                </c:pt>
                <c:pt idx="11">
                  <c:v>81.276235452318403</c:v>
                </c:pt>
                <c:pt idx="12">
                  <c:v>81.684853641559698</c:v>
                </c:pt>
                <c:pt idx="13">
                  <c:v>97.932001627164112</c:v>
                </c:pt>
                <c:pt idx="14">
                  <c:v>92.828534648708512</c:v>
                </c:pt>
                <c:pt idx="15">
                  <c:v>83.140252103617158</c:v>
                </c:pt>
                <c:pt idx="16">
                  <c:v>111.23378457023026</c:v>
                </c:pt>
                <c:pt idx="17">
                  <c:v>106.05791645838769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4-4A9C-A310-E15785FA8C7C}"/>
            </c:ext>
          </c:extLst>
        </c:ser>
        <c:ser>
          <c:idx val="2"/>
          <c:order val="2"/>
          <c:tx>
            <c:strRef>
              <c:f>'Decarbonised (SE) scenario'!$Z$34</c:f>
              <c:strCache>
                <c:ptCount val="1"/>
                <c:pt idx="0">
                  <c:v>Replacement 3</c:v>
                </c:pt>
              </c:strCache>
            </c:strRef>
          </c:tx>
          <c:spPr>
            <a:pattFill prst="pct60">
              <a:fgClr>
                <a:schemeClr val="accent6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'Decarbonised (SE) scenario'!$Q$35:$Q$52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scenario'!$Z$35:$Z$52</c:f>
              <c:numCache>
                <c:formatCode>0</c:formatCode>
                <c:ptCount val="18"/>
                <c:pt idx="0">
                  <c:v>108.12677473157653</c:v>
                </c:pt>
                <c:pt idx="1">
                  <c:v>92.424648275952407</c:v>
                </c:pt>
                <c:pt idx="2">
                  <c:v>107.37984420608014</c:v>
                </c:pt>
                <c:pt idx="3">
                  <c:v>117.16584159021653</c:v>
                </c:pt>
                <c:pt idx="4">
                  <c:v>108.66822755752001</c:v>
                </c:pt>
                <c:pt idx="5">
                  <c:v>115.88470107735381</c:v>
                </c:pt>
                <c:pt idx="6">
                  <c:v>106.54649745115246</c:v>
                </c:pt>
                <c:pt idx="7">
                  <c:v>108.11036711064664</c:v>
                </c:pt>
                <c:pt idx="8">
                  <c:v>100.41267714527733</c:v>
                </c:pt>
                <c:pt idx="9">
                  <c:v>109.95348906385478</c:v>
                </c:pt>
                <c:pt idx="10">
                  <c:v>109.9999106467893</c:v>
                </c:pt>
                <c:pt idx="11">
                  <c:v>90.740089097408315</c:v>
                </c:pt>
                <c:pt idx="12">
                  <c:v>90.994823674007662</c:v>
                </c:pt>
                <c:pt idx="13">
                  <c:v>103.6768707265275</c:v>
                </c:pt>
                <c:pt idx="14">
                  <c:v>99.091712244220147</c:v>
                </c:pt>
                <c:pt idx="15">
                  <c:v>92.019347817672198</c:v>
                </c:pt>
                <c:pt idx="16">
                  <c:v>111.32183580600049</c:v>
                </c:pt>
                <c:pt idx="17">
                  <c:v>108.1437256984871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4-4A9C-A310-E15785FA8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759600"/>
        <c:axId val="435751400"/>
      </c:barChart>
      <c:catAx>
        <c:axId val="43575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751400"/>
        <c:crossesAt val="100"/>
        <c:auto val="1"/>
        <c:lblAlgn val="ctr"/>
        <c:lblOffset val="100"/>
        <c:noMultiLvlLbl val="0"/>
      </c:catAx>
      <c:valAx>
        <c:axId val="43575140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% impact (25000h=100%)</a:t>
                </a:r>
                <a:endParaRPr lang="sv-SE" sz="12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75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'Decarbonised (SE) scenario'!$R$70</c:f>
              <c:strCache>
                <c:ptCount val="1"/>
                <c:pt idx="0">
                  <c:v>2012 LED lamp no replacement</c:v>
                </c:pt>
              </c:strCache>
            </c:strRef>
          </c:tx>
          <c:invertIfNegative val="0"/>
          <c:cat>
            <c:strRef>
              <c:f>'Decarbonised (SE) scenario'!$Q$71:$Q$88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scenario'!$R$71:$R$88</c:f>
              <c:numCache>
                <c:formatCode>0.####</c:formatCode>
                <c:ptCount val="18"/>
                <c:pt idx="0">
                  <c:v>4.4166861380469623E-3</c:v>
                </c:pt>
                <c:pt idx="1">
                  <c:v>5.3258334198937952E-4</c:v>
                </c:pt>
                <c:pt idx="2">
                  <c:v>5.2449899490959011E-3</c:v>
                </c:pt>
                <c:pt idx="3">
                  <c:v>0.14029311681672865</c:v>
                </c:pt>
                <c:pt idx="4">
                  <c:v>3.6401607213947182E-3</c:v>
                </c:pt>
                <c:pt idx="5">
                  <c:v>0.21980706854715135</c:v>
                </c:pt>
                <c:pt idx="6">
                  <c:v>2.4166100841727066E-3</c:v>
                </c:pt>
                <c:pt idx="7">
                  <c:v>6.3626144092126273E-3</c:v>
                </c:pt>
                <c:pt idx="8" formatCode="0.###">
                  <c:v>2.0002786286479461E-3</c:v>
                </c:pt>
                <c:pt idx="9">
                  <c:v>0.51685071046433217</c:v>
                </c:pt>
                <c:pt idx="10">
                  <c:v>0.84551750255256364</c:v>
                </c:pt>
                <c:pt idx="11">
                  <c:v>9.9622856825567041E-2</c:v>
                </c:pt>
                <c:pt idx="12">
                  <c:v>9.8160761866283638E-3</c:v>
                </c:pt>
                <c:pt idx="13">
                  <c:v>1.1451963269408427E-3</c:v>
                </c:pt>
                <c:pt idx="14">
                  <c:v>8.2265942557607742E-4</c:v>
                </c:pt>
                <c:pt idx="15" formatCode="0">
                  <c:v>0</c:v>
                </c:pt>
                <c:pt idx="16">
                  <c:v>3.0892866815283353E-2</c:v>
                </c:pt>
                <c:pt idx="17">
                  <c:v>5.5789390569427853E-3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D-4BD2-BD44-94B3C69BD2F6}"/>
            </c:ext>
          </c:extLst>
        </c:ser>
        <c:ser>
          <c:idx val="1"/>
          <c:order val="1"/>
          <c:tx>
            <c:strRef>
              <c:f>'Decarbonised (SE) scenario'!$S$70</c:f>
              <c:strCache>
                <c:ptCount val="1"/>
                <c:pt idx="0">
                  <c:v>Replacement 1</c:v>
                </c:pt>
              </c:strCache>
            </c:strRef>
          </c:tx>
          <c:invertIfNegative val="0"/>
          <c:cat>
            <c:strRef>
              <c:f>'Decarbonised (SE) scenario'!$Q$71:$Q$88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scenario'!$S$71:$S$88</c:f>
              <c:numCache>
                <c:formatCode>0.####</c:formatCode>
                <c:ptCount val="18"/>
                <c:pt idx="0" formatCode="0.###">
                  <c:v>5.0314551301397442E-3</c:v>
                </c:pt>
                <c:pt idx="1">
                  <c:v>4.1952549303036785E-4</c:v>
                </c:pt>
                <c:pt idx="2">
                  <c:v>5.8275828006645004E-3</c:v>
                </c:pt>
                <c:pt idx="3">
                  <c:v>0.18486795533066616</c:v>
                </c:pt>
                <c:pt idx="4">
                  <c:v>4.2915304568343611E-3</c:v>
                </c:pt>
                <c:pt idx="5">
                  <c:v>0.28080247785980811</c:v>
                </c:pt>
                <c:pt idx="6">
                  <c:v>2.6089827438034664E-3</c:v>
                </c:pt>
                <c:pt idx="7">
                  <c:v>7.179336972122005E-3</c:v>
                </c:pt>
                <c:pt idx="8">
                  <c:v>1.8929134669032359E-3</c:v>
                </c:pt>
                <c:pt idx="9">
                  <c:v>0.57890755397435811</c:v>
                </c:pt>
                <c:pt idx="10">
                  <c:v>0.94555436855396313</c:v>
                </c:pt>
                <c:pt idx="11">
                  <c:v>7.4902508316624233E-2</c:v>
                </c:pt>
                <c:pt idx="12">
                  <c:v>7.4360662425550879E-3</c:v>
                </c:pt>
                <c:pt idx="13">
                  <c:v>1.1488604997939274E-3</c:v>
                </c:pt>
                <c:pt idx="14">
                  <c:v>7.5525728490496459E-4</c:v>
                </c:pt>
                <c:pt idx="15" formatCode="0">
                  <c:v>0</c:v>
                </c:pt>
                <c:pt idx="16" formatCode="0.###">
                  <c:v>3.7061196301718564E-2</c:v>
                </c:pt>
                <c:pt idx="17">
                  <c:v>6.3038389057928574E-3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D-4BD2-BD44-94B3C69BD2F6}"/>
            </c:ext>
          </c:extLst>
        </c:ser>
        <c:ser>
          <c:idx val="2"/>
          <c:order val="2"/>
          <c:tx>
            <c:strRef>
              <c:f>'Decarbonised (SE) scenario'!$T$70</c:f>
              <c:strCache>
                <c:ptCount val="1"/>
                <c:pt idx="0">
                  <c:v>Replacement 2</c:v>
                </c:pt>
              </c:strCache>
            </c:strRef>
          </c:tx>
          <c:invertIfNegative val="0"/>
          <c:cat>
            <c:strRef>
              <c:f>'Decarbonised (SE) scenario'!$Q$71:$Q$88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scenario'!$T$71:$T$88</c:f>
              <c:numCache>
                <c:formatCode>0.####</c:formatCode>
                <c:ptCount val="18"/>
                <c:pt idx="0">
                  <c:v>4.7290219898092614E-3</c:v>
                </c:pt>
                <c:pt idx="1">
                  <c:v>4.4625369090883684E-4</c:v>
                </c:pt>
                <c:pt idx="2">
                  <c:v>5.5301947025566886E-3</c:v>
                </c:pt>
                <c:pt idx="3">
                  <c:v>0.16557294104983708</c:v>
                </c:pt>
                <c:pt idx="4">
                  <c:v>4.1125941953564409E-3</c:v>
                </c:pt>
                <c:pt idx="5">
                  <c:v>0.25391260259063936</c:v>
                </c:pt>
                <c:pt idx="6">
                  <c:v>2.5064158065842058E-3</c:v>
                </c:pt>
                <c:pt idx="7">
                  <c:v>6.7844663288231175E-3</c:v>
                </c:pt>
                <c:pt idx="8">
                  <c:v>1.8906695705333911E-3</c:v>
                </c:pt>
                <c:pt idx="9">
                  <c:v>0.54555138851228402</c:v>
                </c:pt>
                <c:pt idx="10">
                  <c:v>0.89218024486348435</c:v>
                </c:pt>
                <c:pt idx="11">
                  <c:v>8.0969707677873745E-2</c:v>
                </c:pt>
                <c:pt idx="12" formatCode="0.###">
                  <c:v>8.0182474663913796E-3</c:v>
                </c:pt>
                <c:pt idx="13">
                  <c:v>1.1206096657873487E-3</c:v>
                </c:pt>
                <c:pt idx="14">
                  <c:v>7.636626899117534E-4</c:v>
                </c:pt>
                <c:pt idx="15" formatCode="0">
                  <c:v>0</c:v>
                </c:pt>
                <c:pt idx="16" formatCode="0.###">
                  <c:v>3.5056241766968498E-2</c:v>
                </c:pt>
                <c:pt idx="17">
                  <c:v>5.9608203515270561E-3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BD-4BD2-BD44-94B3C69BD2F6}"/>
            </c:ext>
          </c:extLst>
        </c:ser>
        <c:ser>
          <c:idx val="3"/>
          <c:order val="3"/>
          <c:tx>
            <c:strRef>
              <c:f>'Decarbonised (SE) scenario'!$U$70</c:f>
              <c:strCache>
                <c:ptCount val="1"/>
                <c:pt idx="0">
                  <c:v>Replacement 3</c:v>
                </c:pt>
              </c:strCache>
            </c:strRef>
          </c:tx>
          <c:invertIfNegative val="0"/>
          <c:cat>
            <c:strRef>
              <c:f>'Decarbonised (SE) scenario'!$Q$71:$Q$88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'Decarbonised (SE) scenario'!$U$71:$U$88</c:f>
              <c:numCache>
                <c:formatCode>0.####</c:formatCode>
                <c:ptCount val="18"/>
                <c:pt idx="0">
                  <c:v>4.8255811621937964E-3</c:v>
                </c:pt>
                <c:pt idx="1">
                  <c:v>4.9223828060999735E-4</c:v>
                </c:pt>
                <c:pt idx="2">
                  <c:v>5.6750564807652804E-3</c:v>
                </c:pt>
                <c:pt idx="3" formatCode="0.###">
                  <c:v>0.17202725717986292</c:v>
                </c:pt>
                <c:pt idx="4" formatCode="0.###">
                  <c:v>4.0121603470933956E-3</c:v>
                </c:pt>
                <c:pt idx="5">
                  <c:v>0.26441170277298431</c:v>
                </c:pt>
                <c:pt idx="6">
                  <c:v>2.5874070729967921E-3</c:v>
                </c:pt>
                <c:pt idx="7">
                  <c:v>6.9448849937621222E-3</c:v>
                </c:pt>
                <c:pt idx="8" formatCode="0.###">
                  <c:v>2.0085675277825643E-3</c:v>
                </c:pt>
                <c:pt idx="9">
                  <c:v>0.57447221053899977</c:v>
                </c:pt>
                <c:pt idx="10" formatCode="0.##">
                  <c:v>0.94007209452477081</c:v>
                </c:pt>
                <c:pt idx="11">
                  <c:v>9.0397869044903073E-2</c:v>
                </c:pt>
                <c:pt idx="12">
                  <c:v>8.9321212177287286E-3</c:v>
                </c:pt>
                <c:pt idx="13">
                  <c:v>1.1889110492761268E-3</c:v>
                </c:pt>
                <c:pt idx="14">
                  <c:v>8.1518731074179795E-4</c:v>
                </c:pt>
                <c:pt idx="15" formatCode="0">
                  <c:v>0</c:v>
                </c:pt>
                <c:pt idx="16" formatCode="0.###">
                  <c:v>3.5088874608303455E-2</c:v>
                </c:pt>
                <c:pt idx="17" formatCode="0.###">
                  <c:v>6.0923064059050635E-3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BD-4BD2-BD44-94B3C69BD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786192"/>
        <c:axId val="599779960"/>
      </c:barChart>
      <c:catAx>
        <c:axId val="59978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9779960"/>
        <c:crosses val="autoZero"/>
        <c:auto val="1"/>
        <c:lblAlgn val="ctr"/>
        <c:lblOffset val="100"/>
        <c:noMultiLvlLbl val="0"/>
      </c:catAx>
      <c:valAx>
        <c:axId val="599779960"/>
        <c:scaling>
          <c:orientation val="minMax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599786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7451436689931E-2"/>
          <c:y val="1.521290432892238E-2"/>
          <c:w val="0.89423113681970179"/>
          <c:h val="0.523997808626439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'ILCD EU scenario'!$K$14</c:f>
              <c:strCache>
                <c:ptCount val="1"/>
                <c:pt idx="0">
                  <c:v>2012 Product 0 (EU avg)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'ILCD EU scenario'!$I$15:$J$30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EU scenario'!$K$15:$K$30</c:f>
              <c:numCache>
                <c:formatCode>General</c:formatCode>
                <c:ptCount val="16"/>
                <c:pt idx="0">
                  <c:v>1.8612163127585499E-2</c:v>
                </c:pt>
                <c:pt idx="1">
                  <c:v>9.0901364444583E-4</c:v>
                </c:pt>
                <c:pt idx="2">
                  <c:v>0.180991929804312</c:v>
                </c:pt>
                <c:pt idx="3">
                  <c:v>0.38981475437880297</c:v>
                </c:pt>
                <c:pt idx="4">
                  <c:v>2.06802539810645E-2</c:v>
                </c:pt>
                <c:pt idx="5">
                  <c:v>6.9147377089836704E-2</c:v>
                </c:pt>
                <c:pt idx="6">
                  <c:v>0</c:v>
                </c:pt>
                <c:pt idx="7">
                  <c:v>1.2147984804050301E-2</c:v>
                </c:pt>
                <c:pt idx="8">
                  <c:v>2.2007134827640201E-2</c:v>
                </c:pt>
                <c:pt idx="9">
                  <c:v>7.7168546519186896E-3</c:v>
                </c:pt>
                <c:pt idx="10">
                  <c:v>0.116427172285836</c:v>
                </c:pt>
                <c:pt idx="11">
                  <c:v>9.6905160748405397E-3</c:v>
                </c:pt>
                <c:pt idx="12">
                  <c:v>0.33276213366305801</c:v>
                </c:pt>
                <c:pt idx="13">
                  <c:v>2.33223058057202E-3</c:v>
                </c:pt>
                <c:pt idx="14">
                  <c:v>1.20807005705441E-2</c:v>
                </c:pt>
                <c:pt idx="15">
                  <c:v>0.10015583072451401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4-420F-8979-B83F5D5247C5}"/>
            </c:ext>
          </c:extLst>
        </c:ser>
        <c:ser>
          <c:idx val="1"/>
          <c:order val="1"/>
          <c:tx>
            <c:strRef>
              <c:f>'ILCD EU scenario'!$L$14</c:f>
              <c:strCache>
                <c:ptCount val="1"/>
                <c:pt idx="0">
                  <c:v>5000 hour replacement 1 (EU avg)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'ILCD EU scenario'!$I$15:$J$30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EU scenario'!$L$15:$L$30</c:f>
              <c:numCache>
                <c:formatCode>General</c:formatCode>
                <c:ptCount val="16"/>
                <c:pt idx="0">
                  <c:v>1.5157958176721701E-2</c:v>
                </c:pt>
                <c:pt idx="1">
                  <c:v>7.1190654646777402E-4</c:v>
                </c:pt>
                <c:pt idx="2">
                  <c:v>0.201026824796943</c:v>
                </c:pt>
                <c:pt idx="3">
                  <c:v>0.34072953906204201</c:v>
                </c:pt>
                <c:pt idx="4">
                  <c:v>1.8907637983294499E-2</c:v>
                </c:pt>
                <c:pt idx="5">
                  <c:v>5.2306720226366898E-2</c:v>
                </c:pt>
                <c:pt idx="6">
                  <c:v>0</c:v>
                </c:pt>
                <c:pt idx="7">
                  <c:v>1.04781394669994E-2</c:v>
                </c:pt>
                <c:pt idx="8">
                  <c:v>1.84231290132034E-2</c:v>
                </c:pt>
                <c:pt idx="9">
                  <c:v>6.6953815004179096E-3</c:v>
                </c:pt>
                <c:pt idx="10">
                  <c:v>0.102479338184919</c:v>
                </c:pt>
                <c:pt idx="11">
                  <c:v>8.5874313300146193E-3</c:v>
                </c:pt>
                <c:pt idx="12">
                  <c:v>0.35894377512245801</c:v>
                </c:pt>
                <c:pt idx="13">
                  <c:v>1.9441453901938E-3</c:v>
                </c:pt>
                <c:pt idx="14">
                  <c:v>8.84146854995938E-3</c:v>
                </c:pt>
                <c:pt idx="15">
                  <c:v>0.117912558800867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4-420F-8979-B83F5D5247C5}"/>
            </c:ext>
          </c:extLst>
        </c:ser>
        <c:ser>
          <c:idx val="2"/>
          <c:order val="2"/>
          <c:tx>
            <c:strRef>
              <c:f>'ILCD EU scenario'!$M$14</c:f>
              <c:strCache>
                <c:ptCount val="1"/>
                <c:pt idx="0">
                  <c:v>5000 hour replacement 2 (EU avg)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'ILCD EU scenario'!$I$15:$J$30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EU scenario'!$M$15:$M$30</c:f>
              <c:numCache>
                <c:formatCode>General</c:formatCode>
                <c:ptCount val="16"/>
                <c:pt idx="0">
                  <c:v>1.5859490299782099E-2</c:v>
                </c:pt>
                <c:pt idx="1">
                  <c:v>7.5769947312752503E-4</c:v>
                </c:pt>
                <c:pt idx="2">
                  <c:v>0.188953340533313</c:v>
                </c:pt>
                <c:pt idx="3">
                  <c:v>0.34821777024606398</c:v>
                </c:pt>
                <c:pt idx="4">
                  <c:v>1.8916224693174701E-2</c:v>
                </c:pt>
                <c:pt idx="5">
                  <c:v>5.6399074510236402E-2</c:v>
                </c:pt>
                <c:pt idx="6">
                  <c:v>0</c:v>
                </c:pt>
                <c:pt idx="7">
                  <c:v>1.0748886774503299E-2</c:v>
                </c:pt>
                <c:pt idx="8">
                  <c:v>1.90835828115033E-2</c:v>
                </c:pt>
                <c:pt idx="9">
                  <c:v>6.8397110296493603E-3</c:v>
                </c:pt>
                <c:pt idx="10">
                  <c:v>0.104220380047258</c:v>
                </c:pt>
                <c:pt idx="11">
                  <c:v>8.7632378279627401E-3</c:v>
                </c:pt>
                <c:pt idx="12">
                  <c:v>0.34213364146856901</c:v>
                </c:pt>
                <c:pt idx="13">
                  <c:v>2.0227731871807898E-3</c:v>
                </c:pt>
                <c:pt idx="14">
                  <c:v>9.6470469705685104E-3</c:v>
                </c:pt>
                <c:pt idx="15">
                  <c:v>0.112885720075088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4-420F-8979-B83F5D5247C5}"/>
            </c:ext>
          </c:extLst>
        </c:ser>
        <c:ser>
          <c:idx val="3"/>
          <c:order val="3"/>
          <c:tx>
            <c:strRef>
              <c:f>'ILCD EU scenario'!$N$14</c:f>
              <c:strCache>
                <c:ptCount val="1"/>
                <c:pt idx="0">
                  <c:v>5000 hour replacement 3 (EU avg)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'ILCD EU scenario'!$I$15:$J$30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EU scenario'!$N$15:$N$30</c:f>
              <c:numCache>
                <c:formatCode>General</c:formatCode>
                <c:ptCount val="16"/>
                <c:pt idx="0">
                  <c:v>1.7404131735087199E-2</c:v>
                </c:pt>
                <c:pt idx="1">
                  <c:v>8.3771597696914897E-4</c:v>
                </c:pt>
                <c:pt idx="2">
                  <c:v>0.200987123846086</c:v>
                </c:pt>
                <c:pt idx="3">
                  <c:v>0.37813439057387499</c:v>
                </c:pt>
                <c:pt idx="4">
                  <c:v>2.0254776116042799E-2</c:v>
                </c:pt>
                <c:pt idx="5">
                  <c:v>6.2879575026826395E-2</c:v>
                </c:pt>
                <c:pt idx="6">
                  <c:v>0</c:v>
                </c:pt>
                <c:pt idx="7">
                  <c:v>1.16489798933311E-2</c:v>
                </c:pt>
                <c:pt idx="8">
                  <c:v>2.08180427227877E-2</c:v>
                </c:pt>
                <c:pt idx="9">
                  <c:v>7.4089765725051998E-3</c:v>
                </c:pt>
                <c:pt idx="10">
                  <c:v>0.114023578066089</c:v>
                </c:pt>
                <c:pt idx="11">
                  <c:v>9.3817956936153007E-3</c:v>
                </c:pt>
                <c:pt idx="12">
                  <c:v>0.36210941684533698</c:v>
                </c:pt>
                <c:pt idx="13">
                  <c:v>2.2052030787214402E-3</c:v>
                </c:pt>
                <c:pt idx="14">
                  <c:v>1.08344959723151E-2</c:v>
                </c:pt>
                <c:pt idx="15">
                  <c:v>0.112334362891434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4-420F-8979-B83F5D524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775592"/>
        <c:axId val="547776576"/>
      </c:barChart>
      <c:catAx>
        <c:axId val="54777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776576"/>
        <c:crosses val="autoZero"/>
        <c:auto val="1"/>
        <c:lblAlgn val="ctr"/>
        <c:lblOffset val="100"/>
        <c:noMultiLvlLbl val="0"/>
      </c:catAx>
      <c:valAx>
        <c:axId val="5477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77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'ILCD EU scenario'!$Q$15</c:f>
              <c:strCache>
                <c:ptCount val="1"/>
                <c:pt idx="0">
                  <c:v>Climate change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scenario'!$R$15:$U$15</c:f>
              <c:numCache>
                <c:formatCode>General</c:formatCode>
                <c:ptCount val="4"/>
                <c:pt idx="0">
                  <c:v>1.24087291571612</c:v>
                </c:pt>
                <c:pt idx="1">
                  <c:v>1.01058107164204</c:v>
                </c:pt>
                <c:pt idx="2">
                  <c:v>1.0573522182864701</c:v>
                </c:pt>
                <c:pt idx="3">
                  <c:v>1.16033346277826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1-4E45-A2A0-01EA9CDB0142}"/>
            </c:ext>
          </c:extLst>
        </c:ser>
        <c:ser>
          <c:idx val="1"/>
          <c:order val="1"/>
          <c:tx>
            <c:strRef>
              <c:f>'ILCD EU scenario'!$Q$16</c:f>
              <c:strCache>
                <c:ptCount val="1"/>
                <c:pt idx="0">
                  <c:v>Ozone depletion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scenario'!$R$16:$U$16</c:f>
              <c:numCache>
                <c:formatCode>General</c:formatCode>
                <c:ptCount val="4"/>
                <c:pt idx="0">
                  <c:v>6.06039396752035E-2</c:v>
                </c:pt>
                <c:pt idx="1">
                  <c:v>4.7462809453006502E-2</c:v>
                </c:pt>
                <c:pt idx="2">
                  <c:v>5.0515823873412101E-2</c:v>
                </c:pt>
                <c:pt idx="3">
                  <c:v>5.58505241845332E-2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1-4E45-A2A0-01EA9CDB0142}"/>
            </c:ext>
          </c:extLst>
        </c:ser>
        <c:ser>
          <c:idx val="2"/>
          <c:order val="2"/>
          <c:tx>
            <c:strRef>
              <c:f>'ILCD EU scenario'!$Q$17</c:f>
              <c:strCache>
                <c:ptCount val="1"/>
                <c:pt idx="0">
                  <c:v>Human toxicity, non-cancer effects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scenario'!$R$17:$U$17</c:f>
              <c:numCache>
                <c:formatCode>General</c:formatCode>
                <c:ptCount val="4"/>
                <c:pt idx="0">
                  <c:v>12.066731960053399</c:v>
                </c:pt>
                <c:pt idx="1">
                  <c:v>13.402458409212199</c:v>
                </c:pt>
                <c:pt idx="2">
                  <c:v>12.5975192133559</c:v>
                </c:pt>
                <c:pt idx="3">
                  <c:v>13.3998115468185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E1-4E45-A2A0-01EA9CDB0142}"/>
            </c:ext>
          </c:extLst>
        </c:ser>
        <c:ser>
          <c:idx val="3"/>
          <c:order val="3"/>
          <c:tx>
            <c:strRef>
              <c:f>'ILCD EU scenario'!$Q$18</c:f>
              <c:strCache>
                <c:ptCount val="1"/>
                <c:pt idx="0">
                  <c:v>Human toxicity, cancer effects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scenario'!$R$18:$U$18</c:f>
              <c:numCache>
                <c:formatCode>General</c:formatCode>
                <c:ptCount val="4"/>
                <c:pt idx="0">
                  <c:v>25.988949674434899</c:v>
                </c:pt>
                <c:pt idx="1">
                  <c:v>22.716438369266399</c:v>
                </c:pt>
                <c:pt idx="2">
                  <c:v>23.215678742304998</c:v>
                </c:pt>
                <c:pt idx="3">
                  <c:v>25.210219819560201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E1-4E45-A2A0-01EA9CDB0142}"/>
            </c:ext>
          </c:extLst>
        </c:ser>
        <c:ser>
          <c:idx val="4"/>
          <c:order val="4"/>
          <c:tx>
            <c:strRef>
              <c:f>'ILCD EU scenario'!$Q$19</c:f>
              <c:strCache>
                <c:ptCount val="1"/>
                <c:pt idx="0">
                  <c:v>Particulate matter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scenario'!$R$19:$U$19</c:f>
              <c:numCache>
                <c:formatCode>General</c:formatCode>
                <c:ptCount val="4"/>
                <c:pt idx="0">
                  <c:v>1.3787525329175701</c:v>
                </c:pt>
                <c:pt idx="1">
                  <c:v>1.26057222434625</c:v>
                </c:pt>
                <c:pt idx="2">
                  <c:v>1.26114470029395</c:v>
                </c:pt>
                <c:pt idx="3">
                  <c:v>1.3503859236565701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E1-4E45-A2A0-01EA9CDB0142}"/>
            </c:ext>
          </c:extLst>
        </c:ser>
        <c:ser>
          <c:idx val="5"/>
          <c:order val="5"/>
          <c:tx>
            <c:strRef>
              <c:f>'ILCD EU scenario'!$Q$20</c:f>
              <c:strCache>
                <c:ptCount val="1"/>
                <c:pt idx="0">
                  <c:v>Ionizing radiation HH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scenario'!$R$20:$U$20</c:f>
              <c:numCache>
                <c:formatCode>General</c:formatCode>
                <c:ptCount val="4"/>
                <c:pt idx="0">
                  <c:v>4.61005563057941</c:v>
                </c:pt>
                <c:pt idx="1">
                  <c:v>3.4872890374918901</c:v>
                </c:pt>
                <c:pt idx="2">
                  <c:v>3.7601262975974601</c:v>
                </c:pt>
                <c:pt idx="3">
                  <c:v>4.1921812670385101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E1-4E45-A2A0-01EA9CDB0142}"/>
            </c:ext>
          </c:extLst>
        </c:ser>
        <c:ser>
          <c:idx val="6"/>
          <c:order val="6"/>
          <c:tx>
            <c:strRef>
              <c:f>'ILCD EU scenario'!$Q$21</c:f>
              <c:strCache>
                <c:ptCount val="1"/>
                <c:pt idx="0">
                  <c:v>Ionizing radiation E (interim)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scenario'!$R$21:$U$21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E1-4E45-A2A0-01EA9CDB0142}"/>
            </c:ext>
          </c:extLst>
        </c:ser>
        <c:ser>
          <c:idx val="7"/>
          <c:order val="7"/>
          <c:tx>
            <c:strRef>
              <c:f>'ILCD EU scenario'!$Q$22</c:f>
              <c:strCache>
                <c:ptCount val="1"/>
                <c:pt idx="0">
                  <c:v>Photochemical ozone formation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scenario'!$R$22:$U$22</c:f>
              <c:numCache>
                <c:formatCode>General</c:formatCode>
                <c:ptCount val="4"/>
                <c:pt idx="0">
                  <c:v>0.80990614688603102</c:v>
                </c:pt>
                <c:pt idx="1">
                  <c:v>0.69857755826485002</c:v>
                </c:pt>
                <c:pt idx="2">
                  <c:v>0.71662828125613498</c:v>
                </c:pt>
                <c:pt idx="3">
                  <c:v>0.77663748948838596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E1-4E45-A2A0-01EA9CDB0142}"/>
            </c:ext>
          </c:extLst>
        </c:ser>
        <c:ser>
          <c:idx val="8"/>
          <c:order val="8"/>
          <c:tx>
            <c:strRef>
              <c:f>'ILCD EU scenario'!$Q$23</c:f>
              <c:strCache>
                <c:ptCount val="1"/>
                <c:pt idx="0">
                  <c:v>Acidification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scenario'!$R$23:$U$23</c:f>
              <c:numCache>
                <c:formatCode>General</c:formatCode>
                <c:ptCount val="4"/>
                <c:pt idx="0">
                  <c:v>1.46721567895877</c:v>
                </c:pt>
                <c:pt idx="1">
                  <c:v>1.22827001131028</c:v>
                </c:pt>
                <c:pt idx="2">
                  <c:v>1.2723024660429201</c:v>
                </c:pt>
                <c:pt idx="3">
                  <c:v>1.3879389083282601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E1-4E45-A2A0-01EA9CDB0142}"/>
            </c:ext>
          </c:extLst>
        </c:ser>
        <c:ser>
          <c:idx val="9"/>
          <c:order val="9"/>
          <c:tx>
            <c:strRef>
              <c:f>'ILCD EU scenario'!$Q$24</c:f>
              <c:strCache>
                <c:ptCount val="1"/>
                <c:pt idx="0">
                  <c:v>Terrestrial eutrophication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scenario'!$R$24:$U$24</c:f>
              <c:numCache>
                <c:formatCode>General</c:formatCode>
                <c:ptCount val="4"/>
                <c:pt idx="0">
                  <c:v>0.51448269964341697</c:v>
                </c:pt>
                <c:pt idx="1">
                  <c:v>0.44638108463286102</c:v>
                </c:pt>
                <c:pt idx="2">
                  <c:v>0.45600353434672097</c:v>
                </c:pt>
                <c:pt idx="3">
                  <c:v>0.49395646808892002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E1-4E45-A2A0-01EA9CDB0142}"/>
            </c:ext>
          </c:extLst>
        </c:ser>
        <c:ser>
          <c:idx val="10"/>
          <c:order val="10"/>
          <c:tx>
            <c:strRef>
              <c:f>'ILCD EU scenario'!$Q$25</c:f>
              <c:strCache>
                <c:ptCount val="1"/>
                <c:pt idx="0">
                  <c:v>Freshwater eutrophication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scenario'!$R$25:$U$25</c:f>
              <c:numCache>
                <c:formatCode>General</c:formatCode>
                <c:ptCount val="4"/>
                <c:pt idx="0">
                  <c:v>7.7621995762966502</c:v>
                </c:pt>
                <c:pt idx="1">
                  <c:v>6.8322974767885603</c:v>
                </c:pt>
                <c:pt idx="2">
                  <c:v>6.9483727377506703</c:v>
                </c:pt>
                <c:pt idx="3">
                  <c:v>7.6019519496661001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E1-4E45-A2A0-01EA9CDB0142}"/>
            </c:ext>
          </c:extLst>
        </c:ser>
        <c:ser>
          <c:idx val="11"/>
          <c:order val="11"/>
          <c:tx>
            <c:strRef>
              <c:f>'ILCD EU scenario'!$Q$26</c:f>
              <c:strCache>
                <c:ptCount val="1"/>
                <c:pt idx="0">
                  <c:v>Marine eutrophication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scenario'!$R$26:$U$26</c:f>
              <c:numCache>
                <c:formatCode>General</c:formatCode>
                <c:ptCount val="4"/>
                <c:pt idx="0">
                  <c:v>0.64606670670961897</c:v>
                </c:pt>
                <c:pt idx="1">
                  <c:v>0.57252404677207402</c:v>
                </c:pt>
                <c:pt idx="2">
                  <c:v>0.58424506599027504</c:v>
                </c:pt>
                <c:pt idx="3">
                  <c:v>0.62548431889332901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E1-4E45-A2A0-01EA9CDB0142}"/>
            </c:ext>
          </c:extLst>
        </c:ser>
        <c:ser>
          <c:idx val="12"/>
          <c:order val="12"/>
          <c:tx>
            <c:strRef>
              <c:f>'ILCD EU scenario'!$Q$27</c:f>
              <c:strCache>
                <c:ptCount val="1"/>
                <c:pt idx="0">
                  <c:v>Freshwater ecotoxicity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scenario'!$R$27:$U$27</c:f>
              <c:numCache>
                <c:formatCode>General</c:formatCode>
                <c:ptCount val="4"/>
                <c:pt idx="0">
                  <c:v>22.185251451315999</c:v>
                </c:pt>
                <c:pt idx="1">
                  <c:v>23.930781487414201</c:v>
                </c:pt>
                <c:pt idx="2">
                  <c:v>22.810049876709499</c:v>
                </c:pt>
                <c:pt idx="3">
                  <c:v>24.1418348210786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E1-4E45-A2A0-01EA9CDB0142}"/>
            </c:ext>
          </c:extLst>
        </c:ser>
        <c:ser>
          <c:idx val="13"/>
          <c:order val="13"/>
          <c:tx>
            <c:strRef>
              <c:f>'ILCD EU scenario'!$Q$28</c:f>
              <c:strCache>
                <c:ptCount val="1"/>
                <c:pt idx="0">
                  <c:v>Land use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scenario'!$R$28:$U$28</c:f>
              <c:numCache>
                <c:formatCode>General</c:formatCode>
                <c:ptCount val="4"/>
                <c:pt idx="0">
                  <c:v>0.15548981280673699</c:v>
                </c:pt>
                <c:pt idx="1">
                  <c:v>0.12961617316422</c:v>
                </c:pt>
                <c:pt idx="2">
                  <c:v>0.134858288389343</c:v>
                </c:pt>
                <c:pt idx="3">
                  <c:v>0.14702088925835799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E1-4E45-A2A0-01EA9CDB0142}"/>
            </c:ext>
          </c:extLst>
        </c:ser>
        <c:ser>
          <c:idx val="14"/>
          <c:order val="14"/>
          <c:tx>
            <c:strRef>
              <c:f>'ILCD EU scenario'!$Q$29</c:f>
              <c:strCache>
                <c:ptCount val="1"/>
                <c:pt idx="0">
                  <c:v>Water resource depletion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scenario'!$R$29:$U$29</c:f>
              <c:numCache>
                <c:formatCode>General</c:formatCode>
                <c:ptCount val="4"/>
                <c:pt idx="0">
                  <c:v>0.80542030703818901</c:v>
                </c:pt>
                <c:pt idx="1">
                  <c:v>0.58946070822580499</c:v>
                </c:pt>
                <c:pt idx="2">
                  <c:v>0.64316862152781595</c:v>
                </c:pt>
                <c:pt idx="3">
                  <c:v>0.72233584647426397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E1-4E45-A2A0-01EA9CDB0142}"/>
            </c:ext>
          </c:extLst>
        </c:ser>
        <c:ser>
          <c:idx val="15"/>
          <c:order val="15"/>
          <c:tx>
            <c:strRef>
              <c:f>'ILCD EU scenario'!$Q$30</c:f>
              <c:strCache>
                <c:ptCount val="1"/>
                <c:pt idx="0">
                  <c:v>Mineral, fossil &amp; ren resource depletion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scenario'!$R$14:$U$14</c:f>
              <c:strCache>
                <c:ptCount val="4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'ILCD EU scenario'!$R$30:$U$30</c:f>
              <c:numCache>
                <c:formatCode>General</c:formatCode>
                <c:ptCount val="4"/>
                <c:pt idx="0">
                  <c:v>6.6773892344033596</c:v>
                </c:pt>
                <c:pt idx="1">
                  <c:v>7.8612302952538204</c:v>
                </c:pt>
                <c:pt idx="2">
                  <c:v>7.5260909574060904</c:v>
                </c:pt>
                <c:pt idx="3">
                  <c:v>7.4893319739718898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BE1-4E45-A2A0-01EA9CDB0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9570656"/>
        <c:axId val="429570000"/>
      </c:barChart>
      <c:catAx>
        <c:axId val="42957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70000"/>
        <c:crosses val="autoZero"/>
        <c:auto val="1"/>
        <c:lblAlgn val="ctr"/>
        <c:lblOffset val="100"/>
        <c:noMultiLvlLbl val="0"/>
      </c:catAx>
      <c:valAx>
        <c:axId val="4295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millipoints  (mPts)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7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50222726608351E-2"/>
          <c:y val="2.2228081115152756E-2"/>
          <c:w val="0.91567753284489117"/>
          <c:h val="0.763202676661930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'ILCD EU scenario'!$Q$15</c:f>
              <c:strCache>
                <c:ptCount val="1"/>
                <c:pt idx="0">
                  <c:v>Climate change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scenario'!$R$15:$AC$15</c:f>
              <c:numCache>
                <c:formatCode>General</c:formatCode>
                <c:ptCount val="12"/>
                <c:pt idx="0">
                  <c:v>1.24087291571612</c:v>
                </c:pt>
                <c:pt idx="1">
                  <c:v>1.01058107164204</c:v>
                </c:pt>
                <c:pt idx="2">
                  <c:v>1.0573522182864701</c:v>
                </c:pt>
                <c:pt idx="3">
                  <c:v>1.16033346277826</c:v>
                </c:pt>
                <c:pt idx="4">
                  <c:v>0.169463985600843</c:v>
                </c:pt>
                <c:pt idx="5">
                  <c:v>0.212330850808231</c:v>
                </c:pt>
                <c:pt idx="6">
                  <c:v>0.19429225626413099</c:v>
                </c:pt>
                <c:pt idx="7">
                  <c:v>0.19441823550748799</c:v>
                </c:pt>
                <c:pt idx="8">
                  <c:v>0.21928051995928299</c:v>
                </c:pt>
                <c:pt idx="9">
                  <c:v>0.24944652060175901</c:v>
                </c:pt>
                <c:pt idx="10">
                  <c:v>0.234544016349398</c:v>
                </c:pt>
                <c:pt idx="11">
                  <c:v>0.23945238204642699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4-40C7-9DAB-D525C8CF50AE}"/>
            </c:ext>
          </c:extLst>
        </c:ser>
        <c:ser>
          <c:idx val="1"/>
          <c:order val="1"/>
          <c:tx>
            <c:strRef>
              <c:f>'ILCD EU scenario'!$Q$16</c:f>
              <c:strCache>
                <c:ptCount val="1"/>
                <c:pt idx="0">
                  <c:v>Ozone depletion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scenario'!$R$16:$AC$16</c:f>
              <c:numCache>
                <c:formatCode>General</c:formatCode>
                <c:ptCount val="12"/>
                <c:pt idx="0">
                  <c:v>6.06039396752035E-2</c:v>
                </c:pt>
                <c:pt idx="1">
                  <c:v>4.7462809453006502E-2</c:v>
                </c:pt>
                <c:pt idx="2">
                  <c:v>5.0515823873412101E-2</c:v>
                </c:pt>
                <c:pt idx="3">
                  <c:v>5.58505241845332E-2</c:v>
                </c:pt>
                <c:pt idx="4">
                  <c:v>8.9465190300908101E-3</c:v>
                </c:pt>
                <c:pt idx="5">
                  <c:v>8.9755929639943801E-3</c:v>
                </c:pt>
                <c:pt idx="6">
                  <c:v>8.8457069469173796E-3</c:v>
                </c:pt>
                <c:pt idx="7">
                  <c:v>9.2212945000372092E-3</c:v>
                </c:pt>
                <c:pt idx="8">
                  <c:v>6.0608820163898E-2</c:v>
                </c:pt>
                <c:pt idx="9">
                  <c:v>4.7466445882134098E-2</c:v>
                </c:pt>
                <c:pt idx="10">
                  <c:v>5.0588846247645203E-2</c:v>
                </c:pt>
                <c:pt idx="11">
                  <c:v>5.5924014793704298E-2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4-40C7-9DAB-D525C8CF50AE}"/>
            </c:ext>
          </c:extLst>
        </c:ser>
        <c:ser>
          <c:idx val="2"/>
          <c:order val="2"/>
          <c:tx>
            <c:strRef>
              <c:f>'ILCD EU scenario'!$Q$17</c:f>
              <c:strCache>
                <c:ptCount val="1"/>
                <c:pt idx="0">
                  <c:v>Human toxicity, non-cancer effects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scenario'!$R$17:$AC$17</c:f>
              <c:numCache>
                <c:formatCode>General</c:formatCode>
                <c:ptCount val="12"/>
                <c:pt idx="0">
                  <c:v>12.066731960053399</c:v>
                </c:pt>
                <c:pt idx="1">
                  <c:v>13.402458409212199</c:v>
                </c:pt>
                <c:pt idx="2">
                  <c:v>12.5975192133559</c:v>
                </c:pt>
                <c:pt idx="3">
                  <c:v>13.3998115468185</c:v>
                </c:pt>
                <c:pt idx="4">
                  <c:v>7.3860401393984496</c:v>
                </c:pt>
                <c:pt idx="5">
                  <c:v>9.9151221622467993</c:v>
                </c:pt>
                <c:pt idx="6">
                  <c:v>8.8245299684743603</c:v>
                </c:pt>
                <c:pt idx="7">
                  <c:v>9.1774758233008402</c:v>
                </c:pt>
                <c:pt idx="8">
                  <c:v>8.7698113452817008</c:v>
                </c:pt>
                <c:pt idx="9">
                  <c:v>10.9460970003536</c:v>
                </c:pt>
                <c:pt idx="10">
                  <c:v>9.9426170481820701</c:v>
                </c:pt>
                <c:pt idx="11">
                  <c:v>10.4284049613767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4-40C7-9DAB-D525C8CF50AE}"/>
            </c:ext>
          </c:extLst>
        </c:ser>
        <c:ser>
          <c:idx val="3"/>
          <c:order val="3"/>
          <c:tx>
            <c:strRef>
              <c:f>'ILCD EU scenario'!$Q$18</c:f>
              <c:strCache>
                <c:ptCount val="1"/>
                <c:pt idx="0">
                  <c:v>Human toxicity, cancer effects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scenario'!$R$18:$AC$18</c:f>
              <c:numCache>
                <c:formatCode>General</c:formatCode>
                <c:ptCount val="12"/>
                <c:pt idx="0">
                  <c:v>25.988949674434899</c:v>
                </c:pt>
                <c:pt idx="1">
                  <c:v>22.716438369266399</c:v>
                </c:pt>
                <c:pt idx="2">
                  <c:v>23.215678742304998</c:v>
                </c:pt>
                <c:pt idx="3">
                  <c:v>25.210219819560201</c:v>
                </c:pt>
                <c:pt idx="4">
                  <c:v>8.4740538327551391</c:v>
                </c:pt>
                <c:pt idx="5">
                  <c:v>9.6670142985447303</c:v>
                </c:pt>
                <c:pt idx="6">
                  <c:v>9.0975648372348594</c:v>
                </c:pt>
                <c:pt idx="7">
                  <c:v>9.4106758063312004</c:v>
                </c:pt>
                <c:pt idx="8">
                  <c:v>9.73564486931914</c:v>
                </c:pt>
                <c:pt idx="9">
                  <c:v>10.606959159662701</c:v>
                </c:pt>
                <c:pt idx="10">
                  <c:v>10.1169303408776</c:v>
                </c:pt>
                <c:pt idx="11">
                  <c:v>10.5511540495842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4-40C7-9DAB-D525C8CF50AE}"/>
            </c:ext>
          </c:extLst>
        </c:ser>
        <c:ser>
          <c:idx val="4"/>
          <c:order val="4"/>
          <c:tx>
            <c:strRef>
              <c:f>'ILCD EU scenario'!$Q$19</c:f>
              <c:strCache>
                <c:ptCount val="1"/>
                <c:pt idx="0">
                  <c:v>Particulate matter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scenario'!$R$19:$AC$19</c:f>
              <c:numCache>
                <c:formatCode>General</c:formatCode>
                <c:ptCount val="12"/>
                <c:pt idx="0">
                  <c:v>1.3787525329175701</c:v>
                </c:pt>
                <c:pt idx="1">
                  <c:v>1.26057222434625</c:v>
                </c:pt>
                <c:pt idx="2">
                  <c:v>1.26114470029395</c:v>
                </c:pt>
                <c:pt idx="3">
                  <c:v>1.3503859236565701</c:v>
                </c:pt>
                <c:pt idx="4">
                  <c:v>0.38354973586751401</c:v>
                </c:pt>
                <c:pt idx="5">
                  <c:v>0.51909916925807498</c:v>
                </c:pt>
                <c:pt idx="6">
                  <c:v>0.46370114132885099</c:v>
                </c:pt>
                <c:pt idx="7">
                  <c:v>0.45740288769279902</c:v>
                </c:pt>
                <c:pt idx="8">
                  <c:v>0.584312935276177</c:v>
                </c:pt>
                <c:pt idx="9">
                  <c:v>0.66867722757995596</c:v>
                </c:pt>
                <c:pt idx="10">
                  <c:v>0.62591780502871297</c:v>
                </c:pt>
                <c:pt idx="11">
                  <c:v>0.638892818685868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A4-40C7-9DAB-D525C8CF50AE}"/>
            </c:ext>
          </c:extLst>
        </c:ser>
        <c:ser>
          <c:idx val="5"/>
          <c:order val="5"/>
          <c:tx>
            <c:strRef>
              <c:f>'ILCD EU scenario'!$Q$20</c:f>
              <c:strCache>
                <c:ptCount val="1"/>
                <c:pt idx="0">
                  <c:v>Ionizing radiation HH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scenario'!$R$20:$AC$20</c:f>
              <c:numCache>
                <c:formatCode>General</c:formatCode>
                <c:ptCount val="12"/>
                <c:pt idx="0">
                  <c:v>4.61005563057941</c:v>
                </c:pt>
                <c:pt idx="1">
                  <c:v>3.4872890374918901</c:v>
                </c:pt>
                <c:pt idx="2">
                  <c:v>3.7601262975974601</c:v>
                </c:pt>
                <c:pt idx="3">
                  <c:v>4.1921812670385101</c:v>
                </c:pt>
                <c:pt idx="4">
                  <c:v>0.30335381070031397</c:v>
                </c:pt>
                <c:pt idx="5">
                  <c:v>0.27859291938229902</c:v>
                </c:pt>
                <c:pt idx="6">
                  <c:v>0.281872175854051</c:v>
                </c:pt>
                <c:pt idx="7">
                  <c:v>0.30048374718111998</c:v>
                </c:pt>
                <c:pt idx="8">
                  <c:v>7.7398929693872596</c:v>
                </c:pt>
                <c:pt idx="9">
                  <c:v>5.8191656103422602</c:v>
                </c:pt>
                <c:pt idx="10">
                  <c:v>6.2905958181804804</c:v>
                </c:pt>
                <c:pt idx="11">
                  <c:v>7.0231151571942698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A4-40C7-9DAB-D525C8CF50AE}"/>
            </c:ext>
          </c:extLst>
        </c:ser>
        <c:ser>
          <c:idx val="6"/>
          <c:order val="6"/>
          <c:tx>
            <c:strRef>
              <c:f>'ILCD EU scenario'!$Q$21</c:f>
              <c:strCache>
                <c:ptCount val="1"/>
                <c:pt idx="0">
                  <c:v>Ionizing radiation E (interim)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scenario'!$R$21:$AC$21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4-40C7-9DAB-D525C8CF50AE}"/>
            </c:ext>
          </c:extLst>
        </c:ser>
        <c:ser>
          <c:idx val="7"/>
          <c:order val="7"/>
          <c:tx>
            <c:strRef>
              <c:f>'ILCD EU scenario'!$Q$22</c:f>
              <c:strCache>
                <c:ptCount val="1"/>
                <c:pt idx="0">
                  <c:v>Photochemical ozone formation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scenario'!$R$22:$AC$22</c:f>
              <c:numCache>
                <c:formatCode>General</c:formatCode>
                <c:ptCount val="12"/>
                <c:pt idx="0">
                  <c:v>0.80990614688603102</c:v>
                </c:pt>
                <c:pt idx="1">
                  <c:v>0.69857755826485002</c:v>
                </c:pt>
                <c:pt idx="2">
                  <c:v>0.71662828125613498</c:v>
                </c:pt>
                <c:pt idx="3">
                  <c:v>0.77663748948838596</c:v>
                </c:pt>
                <c:pt idx="4">
                  <c:v>0.16918414870336801</c:v>
                </c:pt>
                <c:pt idx="5">
                  <c:v>0.22120942903569199</c:v>
                </c:pt>
                <c:pt idx="6">
                  <c:v>0.20183575838769</c:v>
                </c:pt>
                <c:pt idx="7">
                  <c:v>0.20033565073468601</c:v>
                </c:pt>
                <c:pt idx="8">
                  <c:v>0.27902628206109598</c:v>
                </c:pt>
                <c:pt idx="9">
                  <c:v>0.303047002724598</c:v>
                </c:pt>
                <c:pt idx="10">
                  <c:v>0.29058820166375599</c:v>
                </c:pt>
                <c:pt idx="11">
                  <c:v>0.299632938993458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A4-40C7-9DAB-D525C8CF50AE}"/>
            </c:ext>
          </c:extLst>
        </c:ser>
        <c:ser>
          <c:idx val="8"/>
          <c:order val="8"/>
          <c:tx>
            <c:strRef>
              <c:f>'ILCD EU scenario'!$Q$23</c:f>
              <c:strCache>
                <c:ptCount val="1"/>
                <c:pt idx="0">
                  <c:v>Acidification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scenario'!$R$23:$AC$23</c:f>
              <c:numCache>
                <c:formatCode>General</c:formatCode>
                <c:ptCount val="12"/>
                <c:pt idx="0">
                  <c:v>1.46721567895877</c:v>
                </c:pt>
                <c:pt idx="1">
                  <c:v>1.22827001131028</c:v>
                </c:pt>
                <c:pt idx="2">
                  <c:v>1.2723024660429201</c:v>
                </c:pt>
                <c:pt idx="3">
                  <c:v>1.3879389083282601</c:v>
                </c:pt>
                <c:pt idx="4">
                  <c:v>0.25395002087074797</c:v>
                </c:pt>
                <c:pt idx="5">
                  <c:v>0.324329832975014</c:v>
                </c:pt>
                <c:pt idx="6">
                  <c:v>0.29611779411252598</c:v>
                </c:pt>
                <c:pt idx="7">
                  <c:v>0.29528072493079799</c:v>
                </c:pt>
                <c:pt idx="8">
                  <c:v>0.36799205648891098</c:v>
                </c:pt>
                <c:pt idx="9">
                  <c:v>0.40929653182457798</c:v>
                </c:pt>
                <c:pt idx="10">
                  <c:v>0.38826375804739699</c:v>
                </c:pt>
                <c:pt idx="11">
                  <c:v>0.39837472471311502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A4-40C7-9DAB-D525C8CF50AE}"/>
            </c:ext>
          </c:extLst>
        </c:ser>
        <c:ser>
          <c:idx val="9"/>
          <c:order val="9"/>
          <c:tx>
            <c:strRef>
              <c:f>'ILCD EU scenario'!$Q$24</c:f>
              <c:strCache>
                <c:ptCount val="1"/>
                <c:pt idx="0">
                  <c:v>Terrestrial eutrophication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scenario'!$R$24:$AC$24</c:f>
              <c:numCache>
                <c:formatCode>General</c:formatCode>
                <c:ptCount val="12"/>
                <c:pt idx="0">
                  <c:v>0.51448269964341697</c:v>
                </c:pt>
                <c:pt idx="1">
                  <c:v>0.44638108463286102</c:v>
                </c:pt>
                <c:pt idx="2">
                  <c:v>0.45600353434672097</c:v>
                </c:pt>
                <c:pt idx="3">
                  <c:v>0.49395646808892002</c:v>
                </c:pt>
                <c:pt idx="4">
                  <c:v>0.108386624622391</c:v>
                </c:pt>
                <c:pt idx="5">
                  <c:v>0.14382034195910601</c:v>
                </c:pt>
                <c:pt idx="6">
                  <c:v>0.12974411950210199</c:v>
                </c:pt>
                <c:pt idx="7">
                  <c:v>0.12871182757142599</c:v>
                </c:pt>
                <c:pt idx="8">
                  <c:v>0.20899040596534199</c:v>
                </c:pt>
                <c:pt idx="9">
                  <c:v>0.21877490748442299</c:v>
                </c:pt>
                <c:pt idx="10">
                  <c:v>0.21103197447227001</c:v>
                </c:pt>
                <c:pt idx="11">
                  <c:v>0.219657645723323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A4-40C7-9DAB-D525C8CF50AE}"/>
            </c:ext>
          </c:extLst>
        </c:ser>
        <c:ser>
          <c:idx val="10"/>
          <c:order val="10"/>
          <c:tx>
            <c:strRef>
              <c:f>'ILCD EU scenario'!$Q$25</c:f>
              <c:strCache>
                <c:ptCount val="1"/>
                <c:pt idx="0">
                  <c:v>Freshwater eutrophication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scenario'!$R$25:$AC$25</c:f>
              <c:numCache>
                <c:formatCode>General</c:formatCode>
                <c:ptCount val="12"/>
                <c:pt idx="0">
                  <c:v>7.7621995762966502</c:v>
                </c:pt>
                <c:pt idx="1">
                  <c:v>6.8322974767885603</c:v>
                </c:pt>
                <c:pt idx="2">
                  <c:v>6.9483727377506703</c:v>
                </c:pt>
                <c:pt idx="3">
                  <c:v>7.6019519496661001</c:v>
                </c:pt>
                <c:pt idx="4">
                  <c:v>1.72432546651928</c:v>
                </c:pt>
                <c:pt idx="5">
                  <c:v>2.3337962867492998</c:v>
                </c:pt>
                <c:pt idx="6">
                  <c:v>2.0750795524055601</c:v>
                </c:pt>
                <c:pt idx="7">
                  <c:v>2.1490228184752</c:v>
                </c:pt>
                <c:pt idx="8">
                  <c:v>1.8319382429207101</c:v>
                </c:pt>
                <c:pt idx="9">
                  <c:v>2.4139728775732801</c:v>
                </c:pt>
                <c:pt idx="10">
                  <c:v>2.1620306653148198</c:v>
                </c:pt>
                <c:pt idx="11">
                  <c:v>2.2463047577381299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A4-40C7-9DAB-D525C8CF50AE}"/>
            </c:ext>
          </c:extLst>
        </c:ser>
        <c:ser>
          <c:idx val="11"/>
          <c:order val="11"/>
          <c:tx>
            <c:strRef>
              <c:f>'ILCD EU scenario'!$Q$26</c:f>
              <c:strCache>
                <c:ptCount val="1"/>
                <c:pt idx="0">
                  <c:v>Marine eutrophication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scenario'!$R$26:$AC$26</c:f>
              <c:numCache>
                <c:formatCode>General</c:formatCode>
                <c:ptCount val="12"/>
                <c:pt idx="0">
                  <c:v>0.64606670670961897</c:v>
                </c:pt>
                <c:pt idx="1">
                  <c:v>0.57252404677207402</c:v>
                </c:pt>
                <c:pt idx="2">
                  <c:v>0.58424506599027504</c:v>
                </c:pt>
                <c:pt idx="3">
                  <c:v>0.62548431889332901</c:v>
                </c:pt>
                <c:pt idx="4">
                  <c:v>0.14745671174342101</c:v>
                </c:pt>
                <c:pt idx="5">
                  <c:v>0.201036066970116</c:v>
                </c:pt>
                <c:pt idx="6">
                  <c:v>0.18293987330219399</c:v>
                </c:pt>
                <c:pt idx="7">
                  <c:v>0.17631256373541301</c:v>
                </c:pt>
                <c:pt idx="8">
                  <c:v>0.24031501175245801</c:v>
                </c:pt>
                <c:pt idx="9">
                  <c:v>0.27021988314648798</c:v>
                </c:pt>
                <c:pt idx="10">
                  <c:v>0.25796937940328901</c:v>
                </c:pt>
                <c:pt idx="11">
                  <c:v>0.26025646657559398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A4-40C7-9DAB-D525C8CF50AE}"/>
            </c:ext>
          </c:extLst>
        </c:ser>
        <c:ser>
          <c:idx val="12"/>
          <c:order val="12"/>
          <c:tx>
            <c:strRef>
              <c:f>'ILCD EU scenario'!$Q$27</c:f>
              <c:strCache>
                <c:ptCount val="1"/>
                <c:pt idx="0">
                  <c:v>Freshwater ecotoxicity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scenario'!$R$27:$AC$27</c:f>
              <c:numCache>
                <c:formatCode>General</c:formatCode>
                <c:ptCount val="12"/>
                <c:pt idx="0">
                  <c:v>22.185251451315999</c:v>
                </c:pt>
                <c:pt idx="1">
                  <c:v>23.930781487414201</c:v>
                </c:pt>
                <c:pt idx="2">
                  <c:v>22.810049876709499</c:v>
                </c:pt>
                <c:pt idx="3">
                  <c:v>24.1418348210786</c:v>
                </c:pt>
                <c:pt idx="4">
                  <c:v>14.621387797403701</c:v>
                </c:pt>
                <c:pt idx="5">
                  <c:v>18.2953461782446</c:v>
                </c:pt>
                <c:pt idx="6">
                  <c:v>16.7132442803522</c:v>
                </c:pt>
                <c:pt idx="7">
                  <c:v>17.318898215612599</c:v>
                </c:pt>
                <c:pt idx="8">
                  <c:v>15.1539123877796</c:v>
                </c:pt>
                <c:pt idx="9">
                  <c:v>18.692102096462399</c:v>
                </c:pt>
                <c:pt idx="10">
                  <c:v>17.143524064807298</c:v>
                </c:pt>
                <c:pt idx="11">
                  <c:v>17.8003003781164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5A4-40C7-9DAB-D525C8CF50AE}"/>
            </c:ext>
          </c:extLst>
        </c:ser>
        <c:ser>
          <c:idx val="13"/>
          <c:order val="13"/>
          <c:tx>
            <c:strRef>
              <c:f>'ILCD EU scenario'!$Q$28</c:f>
              <c:strCache>
                <c:ptCount val="1"/>
                <c:pt idx="0">
                  <c:v>Land use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scenario'!$R$28:$AC$28</c:f>
              <c:numCache>
                <c:formatCode>General</c:formatCode>
                <c:ptCount val="12"/>
                <c:pt idx="0">
                  <c:v>0.15548981280673699</c:v>
                </c:pt>
                <c:pt idx="1">
                  <c:v>0.12961617316422</c:v>
                </c:pt>
                <c:pt idx="2">
                  <c:v>0.134858288389343</c:v>
                </c:pt>
                <c:pt idx="3">
                  <c:v>0.14702088925835799</c:v>
                </c:pt>
                <c:pt idx="4">
                  <c:v>2.56147068950568E-2</c:v>
                </c:pt>
                <c:pt idx="5">
                  <c:v>3.2853089205474403E-2</c:v>
                </c:pt>
                <c:pt idx="6">
                  <c:v>3.0222140480147E-2</c:v>
                </c:pt>
                <c:pt idx="7">
                  <c:v>2.99167302846403E-2</c:v>
                </c:pt>
                <c:pt idx="8">
                  <c:v>0.14515781463783201</c:v>
                </c:pt>
                <c:pt idx="9">
                  <c:v>0.12191834675226999</c:v>
                </c:pt>
                <c:pt idx="10">
                  <c:v>0.12681297106469</c:v>
                </c:pt>
                <c:pt idx="11">
                  <c:v>0.137983699919245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A4-40C7-9DAB-D525C8CF50AE}"/>
            </c:ext>
          </c:extLst>
        </c:ser>
        <c:ser>
          <c:idx val="14"/>
          <c:order val="14"/>
          <c:tx>
            <c:strRef>
              <c:f>'ILCD EU scenario'!$Q$29</c:f>
              <c:strCache>
                <c:ptCount val="1"/>
                <c:pt idx="0">
                  <c:v>Water resource depletion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scenario'!$R$29:$AC$29</c:f>
              <c:numCache>
                <c:formatCode>General</c:formatCode>
                <c:ptCount val="12"/>
                <c:pt idx="0">
                  <c:v>0.80542030703818901</c:v>
                </c:pt>
                <c:pt idx="1">
                  <c:v>0.58946070822580499</c:v>
                </c:pt>
                <c:pt idx="2">
                  <c:v>0.64316862152781595</c:v>
                </c:pt>
                <c:pt idx="3">
                  <c:v>0.72233584647426397</c:v>
                </c:pt>
                <c:pt idx="4">
                  <c:v>3.3415012316207401E-3</c:v>
                </c:pt>
                <c:pt idx="5">
                  <c:v>-8.1258608209037898E-3</c:v>
                </c:pt>
                <c:pt idx="6">
                  <c:v>-4.8611071627697299E-3</c:v>
                </c:pt>
                <c:pt idx="7">
                  <c:v>-2.6934523768751598E-3</c:v>
                </c:pt>
                <c:pt idx="8">
                  <c:v>7.0088582522428694E-2</c:v>
                </c:pt>
                <c:pt idx="9">
                  <c:v>4.1603865260172401E-2</c:v>
                </c:pt>
                <c:pt idx="10">
                  <c:v>4.90705343705439E-2</c:v>
                </c:pt>
                <c:pt idx="11">
                  <c:v>5.7645909265370901E-2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A4-40C7-9DAB-D525C8CF50AE}"/>
            </c:ext>
          </c:extLst>
        </c:ser>
        <c:ser>
          <c:idx val="15"/>
          <c:order val="15"/>
          <c:tx>
            <c:strRef>
              <c:f>'ILCD EU scenario'!$Q$30</c:f>
              <c:strCache>
                <c:ptCount val="1"/>
                <c:pt idx="0">
                  <c:v>Mineral, fossil &amp; ren resource depletion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EU scenario'!$R$14:$AC$14</c:f>
              <c:strCache>
                <c:ptCount val="12"/>
                <c:pt idx="0">
                  <c:v>No replacement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  <c:pt idx="4">
                  <c:v>No replacement</c:v>
                </c:pt>
                <c:pt idx="5">
                  <c:v>R1</c:v>
                </c:pt>
                <c:pt idx="6">
                  <c:v>R2</c:v>
                </c:pt>
                <c:pt idx="7">
                  <c:v>R3</c:v>
                </c:pt>
                <c:pt idx="8">
                  <c:v>No replacement</c:v>
                </c:pt>
                <c:pt idx="9">
                  <c:v>R1</c:v>
                </c:pt>
                <c:pt idx="10">
                  <c:v>R2</c:v>
                </c:pt>
                <c:pt idx="11">
                  <c:v>R3</c:v>
                </c:pt>
              </c:strCache>
            </c:strRef>
          </c:cat>
          <c:val>
            <c:numRef>
              <c:f>'ILCD EU scenario'!$R$30:$AC$30</c:f>
              <c:numCache>
                <c:formatCode>General</c:formatCode>
                <c:ptCount val="12"/>
                <c:pt idx="0">
                  <c:v>6.6773892344033596</c:v>
                </c:pt>
                <c:pt idx="1">
                  <c:v>7.8612302952538204</c:v>
                </c:pt>
                <c:pt idx="2">
                  <c:v>7.5260909574060904</c:v>
                </c:pt>
                <c:pt idx="3">
                  <c:v>7.4893319739718898</c:v>
                </c:pt>
                <c:pt idx="4">
                  <c:v>5.8476232436161801</c:v>
                </c:pt>
                <c:pt idx="5">
                  <c:v>7.2430154703887801</c:v>
                </c:pt>
                <c:pt idx="6">
                  <c:v>6.8989805719926398</c:v>
                </c:pt>
                <c:pt idx="7">
                  <c:v>6.7825640481559297</c:v>
                </c:pt>
                <c:pt idx="8">
                  <c:v>6.5345153147914896</c:v>
                </c:pt>
                <c:pt idx="9">
                  <c:v>7.7547824672874999</c:v>
                </c:pt>
                <c:pt idx="10">
                  <c:v>7.4539893512425701</c:v>
                </c:pt>
                <c:pt idx="11">
                  <c:v>7.4035144944349698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5A4-40C7-9DAB-D525C8CF5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9676312"/>
        <c:axId val="599673360"/>
      </c:barChart>
      <c:catAx>
        <c:axId val="59967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673360"/>
        <c:crosses val="autoZero"/>
        <c:auto val="1"/>
        <c:lblAlgn val="ctr"/>
        <c:lblOffset val="100"/>
        <c:noMultiLvlLbl val="0"/>
      </c:catAx>
      <c:valAx>
        <c:axId val="5996733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milliPoints (mPts)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676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'Static scenario'!#REF!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'Static scenario'!$I$10:$I$27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'Static scenario'!#REF!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E-4394-BAA7-D0D329CE646B}"/>
            </c:ext>
          </c:extLst>
        </c:ser>
        <c:ser>
          <c:idx val="1"/>
          <c:order val="1"/>
          <c:tx>
            <c:strRef>
              <c:f>'Static scenario'!$J$9</c:f>
              <c:strCache>
                <c:ptCount val="1"/>
                <c:pt idx="0">
                  <c:v>25000h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'Static scenario'!$I$10:$I$27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'Static scenario'!$J$10:$J$27</c:f>
              <c:numCache>
                <c:formatCode>0.####</c:formatCode>
                <c:ptCount val="18"/>
                <c:pt idx="0">
                  <c:v>77.777213628023418</c:v>
                </c:pt>
                <c:pt idx="1">
                  <c:v>81.312518484882773</c:v>
                </c:pt>
                <c:pt idx="2">
                  <c:v>70.479301530857754</c:v>
                </c:pt>
                <c:pt idx="3">
                  <c:v>58.864267468501261</c:v>
                </c:pt>
                <c:pt idx="4">
                  <c:v>50.097258865604189</c:v>
                </c:pt>
                <c:pt idx="5">
                  <c:v>42.38654042640983</c:v>
                </c:pt>
                <c:pt idx="6">
                  <c:v>65.311938603519337</c:v>
                </c:pt>
                <c:pt idx="7">
                  <c:v>63.847360979446087</c:v>
                </c:pt>
                <c:pt idx="8">
                  <c:v>52.261683667658254</c:v>
                </c:pt>
                <c:pt idx="9">
                  <c:v>49.726744581611939</c:v>
                </c:pt>
                <c:pt idx="10" formatCode="0.###">
                  <c:v>49.581044878140808</c:v>
                </c:pt>
                <c:pt idx="11">
                  <c:v>94.461885653187323</c:v>
                </c:pt>
                <c:pt idx="12">
                  <c:v>86.438849645825172</c:v>
                </c:pt>
                <c:pt idx="13">
                  <c:v>53.678949135605471</c:v>
                </c:pt>
                <c:pt idx="14">
                  <c:v>68.558573203155376</c:v>
                </c:pt>
                <c:pt idx="15">
                  <c:v>86.748965927740159</c:v>
                </c:pt>
                <c:pt idx="16" formatCode="0.###">
                  <c:v>28.698088160779356</c:v>
                </c:pt>
                <c:pt idx="17">
                  <c:v>79.685144175679611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FE-4394-BAA7-D0D329CE646B}"/>
            </c:ext>
          </c:extLst>
        </c:ser>
        <c:ser>
          <c:idx val="2"/>
          <c:order val="2"/>
          <c:tx>
            <c:strRef>
              <c:f>'Static scenario'!$K$9</c:f>
              <c:strCache>
                <c:ptCount val="1"/>
                <c:pt idx="0">
                  <c:v>12500h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'Static scenario'!$I$10:$I$27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'Static scenario'!$K$10:$K$27</c:f>
              <c:numCache>
                <c:formatCode>0.####</c:formatCode>
                <c:ptCount val="18"/>
                <c:pt idx="0">
                  <c:v>83.332909613787322</c:v>
                </c:pt>
                <c:pt idx="1">
                  <c:v>85.984388154390047</c:v>
                </c:pt>
                <c:pt idx="2">
                  <c:v>77.859475646874969</c:v>
                </c:pt>
                <c:pt idx="3">
                  <c:v>69.148200585555799</c:v>
                </c:pt>
                <c:pt idx="4">
                  <c:v>62.572944009900411</c:v>
                </c:pt>
                <c:pt idx="5">
                  <c:v>56.789905396275927</c:v>
                </c:pt>
                <c:pt idx="6">
                  <c:v>73.98395347360271</c:v>
                </c:pt>
                <c:pt idx="7">
                  <c:v>72.88552027986313</c:v>
                </c:pt>
                <c:pt idx="8">
                  <c:v>64.19626246382569</c:v>
                </c:pt>
                <c:pt idx="9" formatCode="0.###">
                  <c:v>62.295058445445761</c:v>
                </c:pt>
                <c:pt idx="10">
                  <c:v>62.185783662258466</c:v>
                </c:pt>
                <c:pt idx="11">
                  <c:v>95.846413264351582</c:v>
                </c:pt>
                <c:pt idx="12">
                  <c:v>89.829136447164942</c:v>
                </c:pt>
                <c:pt idx="13">
                  <c:v>65.259211414255319</c:v>
                </c:pt>
                <c:pt idx="14">
                  <c:v>76.41892920097267</c:v>
                </c:pt>
                <c:pt idx="15">
                  <c:v>90.061723888966768</c:v>
                </c:pt>
                <c:pt idx="16">
                  <c:v>46.52356612874636</c:v>
                </c:pt>
                <c:pt idx="17">
                  <c:v>84.763857370196263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FE-4394-BAA7-D0D329CE646B}"/>
            </c:ext>
          </c:extLst>
        </c:ser>
        <c:ser>
          <c:idx val="3"/>
          <c:order val="3"/>
          <c:tx>
            <c:strRef>
              <c:f>'Static scenario'!$L$9</c:f>
              <c:strCache>
                <c:ptCount val="1"/>
                <c:pt idx="0">
                  <c:v>5000h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'Static scenario'!$I$10:$I$27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'Static scenario'!$L$10:$L$27</c:f>
              <c:numCache>
                <c:formatCode>#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FE-4394-BAA7-D0D329CE6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5658392"/>
        <c:axId val="665663640"/>
      </c:barChart>
      <c:catAx>
        <c:axId val="66565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663640"/>
        <c:crosses val="autoZero"/>
        <c:auto val="1"/>
        <c:lblAlgn val="ctr"/>
        <c:lblOffset val="100"/>
        <c:noMultiLvlLbl val="0"/>
      </c:catAx>
      <c:valAx>
        <c:axId val="6656636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65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'ILCD EU Relative'!$B$8</c:f>
              <c:strCache>
                <c:ptCount val="1"/>
                <c:pt idx="0">
                  <c:v>2012 Product 0 (EU avg)</c:v>
                </c:pt>
              </c:strCache>
            </c:strRef>
          </c:tx>
          <c:invertIfNegative val="0"/>
          <c:cat>
            <c:strRef>
              <c:f>'ILCD EU Relative'!$A$9:$A$24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EU Relative'!$B$9:$B$24</c:f>
              <c:numCache>
                <c:formatCode>#</c:formatCode>
                <c:ptCount val="16"/>
                <c:pt idx="0">
                  <c:v>100</c:v>
                </c:pt>
                <c:pt idx="1">
                  <c:v>100</c:v>
                </c:pt>
                <c:pt idx="2" formatCode="0.####">
                  <c:v>90.033720617698947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 formatCode="0.####">
                  <c:v>91.895465343611164</c:v>
                </c:pt>
                <c:pt idx="13">
                  <c:v>100</c:v>
                </c:pt>
                <c:pt idx="14">
                  <c:v>100</c:v>
                </c:pt>
                <c:pt idx="15" formatCode="0.####">
                  <c:v>84.940766058396804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D-434E-8AC1-00CA2EF4F287}"/>
            </c:ext>
          </c:extLst>
        </c:ser>
        <c:ser>
          <c:idx val="1"/>
          <c:order val="1"/>
          <c:tx>
            <c:strRef>
              <c:f>'ILCD EU Relative'!$C$8</c:f>
              <c:strCache>
                <c:ptCount val="1"/>
                <c:pt idx="0">
                  <c:v>5000 hour replacement 1 (EU avg)</c:v>
                </c:pt>
              </c:strCache>
            </c:strRef>
          </c:tx>
          <c:invertIfNegative val="0"/>
          <c:cat>
            <c:strRef>
              <c:f>'ILCD EU Relative'!$A$9:$A$24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EU Relative'!$C$9:$C$24</c:f>
              <c:numCache>
                <c:formatCode>0.####</c:formatCode>
                <c:ptCount val="16"/>
                <c:pt idx="0">
                  <c:v>81.441141864138245</c:v>
                </c:pt>
                <c:pt idx="1">
                  <c:v>78.316376307176355</c:v>
                </c:pt>
                <c:pt idx="2" formatCode="#">
                  <c:v>100</c:v>
                </c:pt>
                <c:pt idx="3" formatCode="0.###">
                  <c:v>87.408066327560846</c:v>
                </c:pt>
                <c:pt idx="4">
                  <c:v>91.428461181409887</c:v>
                </c:pt>
                <c:pt idx="5">
                  <c:v>75.645270186329313</c:v>
                </c:pt>
                <c:pt idx="6">
                  <c:v>76.001802018851777</c:v>
                </c:pt>
                <c:pt idx="7">
                  <c:v>86.254137093634824</c:v>
                </c:pt>
                <c:pt idx="8">
                  <c:v>83.714346085909185</c:v>
                </c:pt>
                <c:pt idx="9" formatCode="0.###">
                  <c:v>86.763089398777197</c:v>
                </c:pt>
                <c:pt idx="10">
                  <c:v>88.020121225074789</c:v>
                </c:pt>
                <c:pt idx="11">
                  <c:v>88.616862752130956</c:v>
                </c:pt>
                <c:pt idx="12">
                  <c:v>99.12577757561327</c:v>
                </c:pt>
                <c:pt idx="13">
                  <c:v>83.359913311700325</c:v>
                </c:pt>
                <c:pt idx="14">
                  <c:v>73.186720408559509</c:v>
                </c:pt>
                <c:pt idx="15" formatCode="#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D-434E-8AC1-00CA2EF4F287}"/>
            </c:ext>
          </c:extLst>
        </c:ser>
        <c:ser>
          <c:idx val="2"/>
          <c:order val="2"/>
          <c:tx>
            <c:strRef>
              <c:f>'ILCD EU Relative'!$D$8</c:f>
              <c:strCache>
                <c:ptCount val="1"/>
                <c:pt idx="0">
                  <c:v>5000 hour replacement 2 (EU avg)</c:v>
                </c:pt>
              </c:strCache>
            </c:strRef>
          </c:tx>
          <c:invertIfNegative val="0"/>
          <c:cat>
            <c:strRef>
              <c:f>'ILCD EU Relative'!$A$9:$A$24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EU Relative'!$D$9:$D$24</c:f>
              <c:numCache>
                <c:formatCode>0.###</c:formatCode>
                <c:ptCount val="16"/>
                <c:pt idx="0" formatCode="0.####">
                  <c:v>85.210355137477023</c:v>
                </c:pt>
                <c:pt idx="1">
                  <c:v>83.354026395219748</c:v>
                </c:pt>
                <c:pt idx="2">
                  <c:v>93.994092939673095</c:v>
                </c:pt>
                <c:pt idx="3">
                  <c:v>89.329038045512462</c:v>
                </c:pt>
                <c:pt idx="4" formatCode="0.####">
                  <c:v>91.469982479398141</c:v>
                </c:pt>
                <c:pt idx="5" formatCode="0.####">
                  <c:v>81.563577512075909</c:v>
                </c:pt>
                <c:pt idx="6" formatCode="0.##">
                  <c:v>81.7900481300926</c:v>
                </c:pt>
                <c:pt idx="7" formatCode="0.####">
                  <c:v>88.482879653582657</c:v>
                </c:pt>
                <c:pt idx="8" formatCode="0.####">
                  <c:v>86.71543552109749</c:v>
                </c:pt>
                <c:pt idx="9" formatCode="0.####">
                  <c:v>88.633404906087847</c:v>
                </c:pt>
                <c:pt idx="10" formatCode="0.####">
                  <c:v>89.515512574153107</c:v>
                </c:pt>
                <c:pt idx="11">
                  <c:v>90.431074674286378</c:v>
                </c:pt>
                <c:pt idx="12" formatCode="0.####">
                  <c:v>94.483497405067865</c:v>
                </c:pt>
                <c:pt idx="13" formatCode="0.####">
                  <c:v>86.731269370658822</c:v>
                </c:pt>
                <c:pt idx="14">
                  <c:v>79.855029219832886</c:v>
                </c:pt>
                <c:pt idx="15" formatCode="0.####">
                  <c:v>95.736808040720447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D-434E-8AC1-00CA2EF4F287}"/>
            </c:ext>
          </c:extLst>
        </c:ser>
        <c:ser>
          <c:idx val="3"/>
          <c:order val="3"/>
          <c:tx>
            <c:strRef>
              <c:f>'ILCD EU Relative'!$E$8</c:f>
              <c:strCache>
                <c:ptCount val="1"/>
                <c:pt idx="0">
                  <c:v>5000 hour replacement 3 (EU avg)</c:v>
                </c:pt>
              </c:strCache>
            </c:strRef>
          </c:tx>
          <c:invertIfNegative val="0"/>
          <c:cat>
            <c:strRef>
              <c:f>'ILCD EU Relative'!$A$9:$A$24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EU Relative'!$E$9:$E$24</c:f>
              <c:numCache>
                <c:formatCode>0.####</c:formatCode>
                <c:ptCount val="16"/>
                <c:pt idx="0">
                  <c:v>93.50945194162918</c:v>
                </c:pt>
                <c:pt idx="1">
                  <c:v>92.156589957442677</c:v>
                </c:pt>
                <c:pt idx="2">
                  <c:v>99.980250918802966</c:v>
                </c:pt>
                <c:pt idx="3">
                  <c:v>97.003611670999163</c:v>
                </c:pt>
                <c:pt idx="4">
                  <c:v>97.942588783429159</c:v>
                </c:pt>
                <c:pt idx="5">
                  <c:v>90.935589567096414</c:v>
                </c:pt>
                <c:pt idx="6">
                  <c:v>91.121709872404239</c:v>
                </c:pt>
                <c:pt idx="7">
                  <c:v>95.892282392773637</c:v>
                </c:pt>
                <c:pt idx="8">
                  <c:v>94.596788204527854</c:v>
                </c:pt>
                <c:pt idx="9">
                  <c:v>96.010316465699901</c:v>
                </c:pt>
                <c:pt idx="10">
                  <c:v>97.935538437843121</c:v>
                </c:pt>
                <c:pt idx="11">
                  <c:v>96.814200824383377</c:v>
                </c:pt>
                <c:pt idx="12" formatCode="#">
                  <c:v>100</c:v>
                </c:pt>
                <c:pt idx="13">
                  <c:v>94.553390093211647</c:v>
                </c:pt>
                <c:pt idx="14">
                  <c:v>89.684335018884909</c:v>
                </c:pt>
                <c:pt idx="15">
                  <c:v>95.269209687109054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D-434E-8AC1-00CA2EF4F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952256"/>
        <c:axId val="580955536"/>
      </c:barChart>
      <c:catAx>
        <c:axId val="5809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0955536"/>
        <c:crosses val="autoZero"/>
        <c:auto val="1"/>
        <c:lblAlgn val="ctr"/>
        <c:lblOffset val="100"/>
        <c:noMultiLvlLbl val="0"/>
      </c:catAx>
      <c:valAx>
        <c:axId val="580955536"/>
        <c:scaling>
          <c:orientation val="minMax"/>
        </c:scaling>
        <c:delete val="0"/>
        <c:axPos val="l"/>
        <c:majorGridlines/>
        <c:numFmt formatCode="#" sourceLinked="1"/>
        <c:majorTickMark val="out"/>
        <c:minorTickMark val="none"/>
        <c:tickLblPos val="nextTo"/>
        <c:crossAx val="58095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'ILCD EU Relative'!$B$67</c:f>
              <c:strCache>
                <c:ptCount val="1"/>
                <c:pt idx="0">
                  <c:v>Replacement 1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'ILCD EU Relative'!$A$68:$A$83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EU Relative'!$B$68:$B$83</c:f>
              <c:numCache>
                <c:formatCode>General</c:formatCode>
                <c:ptCount val="16"/>
                <c:pt idx="0">
                  <c:v>81.441141864138245</c:v>
                </c:pt>
                <c:pt idx="1">
                  <c:v>78.316376307176355</c:v>
                </c:pt>
                <c:pt idx="2">
                  <c:v>109.96627938230105</c:v>
                </c:pt>
                <c:pt idx="3">
                  <c:v>87.408066327560846</c:v>
                </c:pt>
                <c:pt idx="4">
                  <c:v>91.428461181409887</c:v>
                </c:pt>
                <c:pt idx="5">
                  <c:v>75.645270186329313</c:v>
                </c:pt>
                <c:pt idx="6">
                  <c:v>76.001802018851777</c:v>
                </c:pt>
                <c:pt idx="7">
                  <c:v>86.254137093634824</c:v>
                </c:pt>
                <c:pt idx="8">
                  <c:v>83.714346085909185</c:v>
                </c:pt>
                <c:pt idx="9">
                  <c:v>86.763089398777197</c:v>
                </c:pt>
                <c:pt idx="10">
                  <c:v>88.020121225074789</c:v>
                </c:pt>
                <c:pt idx="11">
                  <c:v>88.616862752130956</c:v>
                </c:pt>
                <c:pt idx="12">
                  <c:v>107.23031223200211</c:v>
                </c:pt>
                <c:pt idx="13">
                  <c:v>83.359913311700325</c:v>
                </c:pt>
                <c:pt idx="14">
                  <c:v>73.186720408559509</c:v>
                </c:pt>
                <c:pt idx="15">
                  <c:v>115.0592339416032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6-47B6-85FF-7EDEE1583A01}"/>
            </c:ext>
          </c:extLst>
        </c:ser>
        <c:ser>
          <c:idx val="1"/>
          <c:order val="1"/>
          <c:tx>
            <c:strRef>
              <c:f>'ILCD EU Relative'!$C$67</c:f>
              <c:strCache>
                <c:ptCount val="1"/>
                <c:pt idx="0">
                  <c:v>Replacement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'ILCD EU Relative'!$A$68:$A$83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EU Relative'!$C$68:$C$83</c:f>
              <c:numCache>
                <c:formatCode>General</c:formatCode>
                <c:ptCount val="16"/>
                <c:pt idx="0">
                  <c:v>85.210355137477023</c:v>
                </c:pt>
                <c:pt idx="1">
                  <c:v>83.354026395219748</c:v>
                </c:pt>
                <c:pt idx="2">
                  <c:v>103.96037232197415</c:v>
                </c:pt>
                <c:pt idx="3">
                  <c:v>89.329038045512462</c:v>
                </c:pt>
                <c:pt idx="4">
                  <c:v>91.469982479398141</c:v>
                </c:pt>
                <c:pt idx="5">
                  <c:v>81.563577512075909</c:v>
                </c:pt>
                <c:pt idx="6">
                  <c:v>81.7900481300926</c:v>
                </c:pt>
                <c:pt idx="7">
                  <c:v>88.482879653582657</c:v>
                </c:pt>
                <c:pt idx="8">
                  <c:v>86.71543552109749</c:v>
                </c:pt>
                <c:pt idx="9">
                  <c:v>88.633404906087847</c:v>
                </c:pt>
                <c:pt idx="10">
                  <c:v>89.515512574153107</c:v>
                </c:pt>
                <c:pt idx="11">
                  <c:v>90.431074674286378</c:v>
                </c:pt>
                <c:pt idx="12">
                  <c:v>102.5880320614567</c:v>
                </c:pt>
                <c:pt idx="13">
                  <c:v>86.731269370658822</c:v>
                </c:pt>
                <c:pt idx="14">
                  <c:v>79.855029219832886</c:v>
                </c:pt>
                <c:pt idx="15">
                  <c:v>110.79604198232364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6-47B6-85FF-7EDEE1583A01}"/>
            </c:ext>
          </c:extLst>
        </c:ser>
        <c:ser>
          <c:idx val="2"/>
          <c:order val="2"/>
          <c:tx>
            <c:strRef>
              <c:f>'ILCD EU Relative'!$D$67</c:f>
              <c:strCache>
                <c:ptCount val="1"/>
                <c:pt idx="0">
                  <c:v>Replacement 3</c:v>
                </c:pt>
              </c:strCache>
            </c:strRef>
          </c:tx>
          <c:spPr>
            <a:pattFill prst="pct60">
              <a:fgClr>
                <a:schemeClr val="accent6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'ILCD EU Relative'!$A$68:$A$83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EU Relative'!$D$68:$D$83</c:f>
              <c:numCache>
                <c:formatCode>General</c:formatCode>
                <c:ptCount val="16"/>
                <c:pt idx="0">
                  <c:v>93.50945194162918</c:v>
                </c:pt>
                <c:pt idx="1">
                  <c:v>92.156589957442677</c:v>
                </c:pt>
                <c:pt idx="2">
                  <c:v>109.94653030110402</c:v>
                </c:pt>
                <c:pt idx="3">
                  <c:v>97.003611670999163</c:v>
                </c:pt>
                <c:pt idx="4">
                  <c:v>97.942588783429159</c:v>
                </c:pt>
                <c:pt idx="5">
                  <c:v>90.935589567096414</c:v>
                </c:pt>
                <c:pt idx="6">
                  <c:v>91.121709872404239</c:v>
                </c:pt>
                <c:pt idx="7">
                  <c:v>95.892282392773637</c:v>
                </c:pt>
                <c:pt idx="8">
                  <c:v>94.596788204527854</c:v>
                </c:pt>
                <c:pt idx="9">
                  <c:v>96.010316465699901</c:v>
                </c:pt>
                <c:pt idx="10">
                  <c:v>97.935538437843121</c:v>
                </c:pt>
                <c:pt idx="11">
                  <c:v>96.814200824383377</c:v>
                </c:pt>
                <c:pt idx="12">
                  <c:v>108.10453465638884</c:v>
                </c:pt>
                <c:pt idx="13">
                  <c:v>94.553390093211647</c:v>
                </c:pt>
                <c:pt idx="14">
                  <c:v>89.684335018884909</c:v>
                </c:pt>
                <c:pt idx="15">
                  <c:v>110.32844362871225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6-47B6-85FF-7EDEE1583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903384"/>
        <c:axId val="580904368"/>
      </c:barChart>
      <c:catAx>
        <c:axId val="58090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904368"/>
        <c:crossesAt val="100"/>
        <c:auto val="1"/>
        <c:lblAlgn val="ctr"/>
        <c:lblOffset val="100"/>
        <c:noMultiLvlLbl val="0"/>
      </c:catAx>
      <c:valAx>
        <c:axId val="58090436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 i="0" baseline="0">
                    <a:effectLst/>
                  </a:rPr>
                  <a:t>% impact (25000h=100%)</a:t>
                </a:r>
                <a:endParaRPr lang="sv-SE" sz="8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90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'ILCD NO scenario'!$Q$14:$R$14</c:f>
              <c:strCache>
                <c:ptCount val="2"/>
                <c:pt idx="0">
                  <c:v>Climate change</c:v>
                </c:pt>
                <c:pt idx="1">
                  <c:v>mPt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scenario'!$S$14:$V$14</c:f>
              <c:numCache>
                <c:formatCode>General</c:formatCode>
                <c:ptCount val="4"/>
                <c:pt idx="0">
                  <c:v>0.169463985600843</c:v>
                </c:pt>
                <c:pt idx="1">
                  <c:v>0.212330850808231</c:v>
                </c:pt>
                <c:pt idx="2">
                  <c:v>0.19429225626413099</c:v>
                </c:pt>
                <c:pt idx="3">
                  <c:v>0.19441823550748799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C-47F7-AA24-A787EC8C5FB4}"/>
            </c:ext>
          </c:extLst>
        </c:ser>
        <c:ser>
          <c:idx val="1"/>
          <c:order val="1"/>
          <c:tx>
            <c:strRef>
              <c:f>'ILCD NO scenario'!$Q$15:$R$15</c:f>
              <c:strCache>
                <c:ptCount val="2"/>
                <c:pt idx="0">
                  <c:v>Ozone depletion</c:v>
                </c:pt>
                <c:pt idx="1">
                  <c:v>mPt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scenario'!$S$15:$V$15</c:f>
              <c:numCache>
                <c:formatCode>General</c:formatCode>
                <c:ptCount val="4"/>
                <c:pt idx="0">
                  <c:v>8.9465190300908101E-3</c:v>
                </c:pt>
                <c:pt idx="1">
                  <c:v>8.9755929639943801E-3</c:v>
                </c:pt>
                <c:pt idx="2">
                  <c:v>8.8457069469173796E-3</c:v>
                </c:pt>
                <c:pt idx="3">
                  <c:v>9.2212945000372092E-3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C-47F7-AA24-A787EC8C5FB4}"/>
            </c:ext>
          </c:extLst>
        </c:ser>
        <c:ser>
          <c:idx val="2"/>
          <c:order val="2"/>
          <c:tx>
            <c:strRef>
              <c:f>'ILCD NO scenario'!$Q$16:$R$16</c:f>
              <c:strCache>
                <c:ptCount val="2"/>
                <c:pt idx="0">
                  <c:v>Human toxicity, non-cancer effects</c:v>
                </c:pt>
                <c:pt idx="1">
                  <c:v>mPt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scenario'!$S$16:$V$16</c:f>
              <c:numCache>
                <c:formatCode>General</c:formatCode>
                <c:ptCount val="4"/>
                <c:pt idx="0">
                  <c:v>7.3860401393984496</c:v>
                </c:pt>
                <c:pt idx="1">
                  <c:v>9.9151221622467993</c:v>
                </c:pt>
                <c:pt idx="2">
                  <c:v>8.8245299684743603</c:v>
                </c:pt>
                <c:pt idx="3">
                  <c:v>9.1774758233008402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C-47F7-AA24-A787EC8C5FB4}"/>
            </c:ext>
          </c:extLst>
        </c:ser>
        <c:ser>
          <c:idx val="3"/>
          <c:order val="3"/>
          <c:tx>
            <c:strRef>
              <c:f>'ILCD NO scenario'!$Q$17:$R$17</c:f>
              <c:strCache>
                <c:ptCount val="2"/>
                <c:pt idx="0">
                  <c:v>Human toxicity, cancer effects</c:v>
                </c:pt>
                <c:pt idx="1">
                  <c:v>mPt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scenario'!$S$17:$V$17</c:f>
              <c:numCache>
                <c:formatCode>General</c:formatCode>
                <c:ptCount val="4"/>
                <c:pt idx="0">
                  <c:v>8.4740538327551391</c:v>
                </c:pt>
                <c:pt idx="1">
                  <c:v>9.6670142985447303</c:v>
                </c:pt>
                <c:pt idx="2">
                  <c:v>9.0975648372348594</c:v>
                </c:pt>
                <c:pt idx="3">
                  <c:v>9.4106758063312004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C-47F7-AA24-A787EC8C5FB4}"/>
            </c:ext>
          </c:extLst>
        </c:ser>
        <c:ser>
          <c:idx val="4"/>
          <c:order val="4"/>
          <c:tx>
            <c:strRef>
              <c:f>'ILCD NO scenario'!$Q$18:$R$18</c:f>
              <c:strCache>
                <c:ptCount val="2"/>
                <c:pt idx="0">
                  <c:v>Particulate matter</c:v>
                </c:pt>
                <c:pt idx="1">
                  <c:v>mPt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scenario'!$S$18:$V$18</c:f>
              <c:numCache>
                <c:formatCode>General</c:formatCode>
                <c:ptCount val="4"/>
                <c:pt idx="0">
                  <c:v>0.38354973586751401</c:v>
                </c:pt>
                <c:pt idx="1">
                  <c:v>0.51909916925807498</c:v>
                </c:pt>
                <c:pt idx="2">
                  <c:v>0.46370114132885099</c:v>
                </c:pt>
                <c:pt idx="3">
                  <c:v>0.45740288769279902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C-47F7-AA24-A787EC8C5FB4}"/>
            </c:ext>
          </c:extLst>
        </c:ser>
        <c:ser>
          <c:idx val="5"/>
          <c:order val="5"/>
          <c:tx>
            <c:strRef>
              <c:f>'ILCD NO scenario'!$Q$19:$R$19</c:f>
              <c:strCache>
                <c:ptCount val="2"/>
                <c:pt idx="0">
                  <c:v>Ionizing radiation HH</c:v>
                </c:pt>
                <c:pt idx="1">
                  <c:v>mPt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scenario'!$S$19:$V$19</c:f>
              <c:numCache>
                <c:formatCode>General</c:formatCode>
                <c:ptCount val="4"/>
                <c:pt idx="0">
                  <c:v>0.30335381070031397</c:v>
                </c:pt>
                <c:pt idx="1">
                  <c:v>0.27859291938229902</c:v>
                </c:pt>
                <c:pt idx="2">
                  <c:v>0.281872175854051</c:v>
                </c:pt>
                <c:pt idx="3">
                  <c:v>0.30048374718111998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CC-47F7-AA24-A787EC8C5FB4}"/>
            </c:ext>
          </c:extLst>
        </c:ser>
        <c:ser>
          <c:idx val="6"/>
          <c:order val="6"/>
          <c:tx>
            <c:strRef>
              <c:f>'ILCD NO scenario'!$Q$20:$R$20</c:f>
              <c:strCache>
                <c:ptCount val="2"/>
                <c:pt idx="0">
                  <c:v>Ionizing radiation E (interim)</c:v>
                </c:pt>
                <c:pt idx="1">
                  <c:v>mPt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scenario'!$S$20:$V$20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CC-47F7-AA24-A787EC8C5FB4}"/>
            </c:ext>
          </c:extLst>
        </c:ser>
        <c:ser>
          <c:idx val="7"/>
          <c:order val="7"/>
          <c:tx>
            <c:strRef>
              <c:f>'ILCD NO scenario'!$Q$21:$R$21</c:f>
              <c:strCache>
                <c:ptCount val="2"/>
                <c:pt idx="0">
                  <c:v>Photochemical ozone formation</c:v>
                </c:pt>
                <c:pt idx="1">
                  <c:v>mPt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scenario'!$S$21:$V$21</c:f>
              <c:numCache>
                <c:formatCode>General</c:formatCode>
                <c:ptCount val="4"/>
                <c:pt idx="0">
                  <c:v>0.16918414870336801</c:v>
                </c:pt>
                <c:pt idx="1">
                  <c:v>0.22120942903569199</c:v>
                </c:pt>
                <c:pt idx="2">
                  <c:v>0.20183575838769</c:v>
                </c:pt>
                <c:pt idx="3">
                  <c:v>0.20033565073468601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CC-47F7-AA24-A787EC8C5FB4}"/>
            </c:ext>
          </c:extLst>
        </c:ser>
        <c:ser>
          <c:idx val="8"/>
          <c:order val="8"/>
          <c:tx>
            <c:strRef>
              <c:f>'ILCD NO scenario'!$Q$22:$R$22</c:f>
              <c:strCache>
                <c:ptCount val="2"/>
                <c:pt idx="0">
                  <c:v>Acidification</c:v>
                </c:pt>
                <c:pt idx="1">
                  <c:v>mPt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scenario'!$S$22:$V$22</c:f>
              <c:numCache>
                <c:formatCode>General</c:formatCode>
                <c:ptCount val="4"/>
                <c:pt idx="0">
                  <c:v>0.25395002087074797</c:v>
                </c:pt>
                <c:pt idx="1">
                  <c:v>0.324329832975014</c:v>
                </c:pt>
                <c:pt idx="2">
                  <c:v>0.29611779411252598</c:v>
                </c:pt>
                <c:pt idx="3">
                  <c:v>0.29528072493079799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CC-47F7-AA24-A787EC8C5FB4}"/>
            </c:ext>
          </c:extLst>
        </c:ser>
        <c:ser>
          <c:idx val="9"/>
          <c:order val="9"/>
          <c:tx>
            <c:strRef>
              <c:f>'ILCD NO scenario'!$Q$23:$R$23</c:f>
              <c:strCache>
                <c:ptCount val="2"/>
                <c:pt idx="0">
                  <c:v>Terrestrial eutrophication</c:v>
                </c:pt>
                <c:pt idx="1">
                  <c:v>mPt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scenario'!$S$23:$V$23</c:f>
              <c:numCache>
                <c:formatCode>General</c:formatCode>
                <c:ptCount val="4"/>
                <c:pt idx="0">
                  <c:v>0.108386624622391</c:v>
                </c:pt>
                <c:pt idx="1">
                  <c:v>0.14382034195910601</c:v>
                </c:pt>
                <c:pt idx="2">
                  <c:v>0.12974411950210199</c:v>
                </c:pt>
                <c:pt idx="3">
                  <c:v>0.12871182757142599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CC-47F7-AA24-A787EC8C5FB4}"/>
            </c:ext>
          </c:extLst>
        </c:ser>
        <c:ser>
          <c:idx val="10"/>
          <c:order val="10"/>
          <c:tx>
            <c:strRef>
              <c:f>'ILCD NO scenario'!$Q$24:$R$24</c:f>
              <c:strCache>
                <c:ptCount val="2"/>
                <c:pt idx="0">
                  <c:v>Freshwater eutrophication</c:v>
                </c:pt>
                <c:pt idx="1">
                  <c:v>mPt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scenario'!$S$24:$V$24</c:f>
              <c:numCache>
                <c:formatCode>General</c:formatCode>
                <c:ptCount val="4"/>
                <c:pt idx="0">
                  <c:v>1.72432546651928</c:v>
                </c:pt>
                <c:pt idx="1">
                  <c:v>2.3337962867492998</c:v>
                </c:pt>
                <c:pt idx="2">
                  <c:v>2.0750795524055601</c:v>
                </c:pt>
                <c:pt idx="3">
                  <c:v>2.1490228184752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CC-47F7-AA24-A787EC8C5FB4}"/>
            </c:ext>
          </c:extLst>
        </c:ser>
        <c:ser>
          <c:idx val="11"/>
          <c:order val="11"/>
          <c:tx>
            <c:strRef>
              <c:f>'ILCD NO scenario'!$Q$25:$R$25</c:f>
              <c:strCache>
                <c:ptCount val="2"/>
                <c:pt idx="0">
                  <c:v>Marine eutrophication</c:v>
                </c:pt>
                <c:pt idx="1">
                  <c:v>mPt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scenario'!$S$25:$V$25</c:f>
              <c:numCache>
                <c:formatCode>General</c:formatCode>
                <c:ptCount val="4"/>
                <c:pt idx="0">
                  <c:v>0.14745671174342101</c:v>
                </c:pt>
                <c:pt idx="1">
                  <c:v>0.201036066970116</c:v>
                </c:pt>
                <c:pt idx="2">
                  <c:v>0.18293987330219399</c:v>
                </c:pt>
                <c:pt idx="3">
                  <c:v>0.17631256373541301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CC-47F7-AA24-A787EC8C5FB4}"/>
            </c:ext>
          </c:extLst>
        </c:ser>
        <c:ser>
          <c:idx val="12"/>
          <c:order val="12"/>
          <c:tx>
            <c:strRef>
              <c:f>'ILCD NO scenario'!$Q$26:$R$26</c:f>
              <c:strCache>
                <c:ptCount val="2"/>
                <c:pt idx="0">
                  <c:v>Freshwater ecotoxicity</c:v>
                </c:pt>
                <c:pt idx="1">
                  <c:v>mPt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scenario'!$S$26:$V$26</c:f>
              <c:numCache>
                <c:formatCode>General</c:formatCode>
                <c:ptCount val="4"/>
                <c:pt idx="0">
                  <c:v>14.621387797403701</c:v>
                </c:pt>
                <c:pt idx="1">
                  <c:v>18.2953461782446</c:v>
                </c:pt>
                <c:pt idx="2">
                  <c:v>16.7132442803522</c:v>
                </c:pt>
                <c:pt idx="3">
                  <c:v>17.318898215612599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CC-47F7-AA24-A787EC8C5FB4}"/>
            </c:ext>
          </c:extLst>
        </c:ser>
        <c:ser>
          <c:idx val="13"/>
          <c:order val="13"/>
          <c:tx>
            <c:strRef>
              <c:f>'ILCD NO scenario'!$Q$27:$R$27</c:f>
              <c:strCache>
                <c:ptCount val="2"/>
                <c:pt idx="0">
                  <c:v>Land use</c:v>
                </c:pt>
                <c:pt idx="1">
                  <c:v>mPt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scenario'!$S$27:$V$27</c:f>
              <c:numCache>
                <c:formatCode>General</c:formatCode>
                <c:ptCount val="4"/>
                <c:pt idx="0">
                  <c:v>2.56147068950568E-2</c:v>
                </c:pt>
                <c:pt idx="1">
                  <c:v>3.2853089205474403E-2</c:v>
                </c:pt>
                <c:pt idx="2">
                  <c:v>3.0222140480147E-2</c:v>
                </c:pt>
                <c:pt idx="3">
                  <c:v>2.99167302846403E-2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1CC-47F7-AA24-A787EC8C5FB4}"/>
            </c:ext>
          </c:extLst>
        </c:ser>
        <c:ser>
          <c:idx val="14"/>
          <c:order val="14"/>
          <c:tx>
            <c:strRef>
              <c:f>'ILCD NO scenario'!$Q$28:$R$28</c:f>
              <c:strCache>
                <c:ptCount val="2"/>
                <c:pt idx="0">
                  <c:v>Water resource depletion</c:v>
                </c:pt>
                <c:pt idx="1">
                  <c:v>mPt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scenario'!$S$28:$V$28</c:f>
              <c:numCache>
                <c:formatCode>General</c:formatCode>
                <c:ptCount val="4"/>
                <c:pt idx="0">
                  <c:v>3.3415012316207401E-3</c:v>
                </c:pt>
                <c:pt idx="1">
                  <c:v>-8.1258608209037898E-3</c:v>
                </c:pt>
                <c:pt idx="2">
                  <c:v>-4.8611071627697299E-3</c:v>
                </c:pt>
                <c:pt idx="3">
                  <c:v>-2.6934523768751598E-3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1CC-47F7-AA24-A787EC8C5FB4}"/>
            </c:ext>
          </c:extLst>
        </c:ser>
        <c:ser>
          <c:idx val="15"/>
          <c:order val="15"/>
          <c:tx>
            <c:strRef>
              <c:f>'ILCD NO scenario'!$Q$29:$R$29</c:f>
              <c:strCache>
                <c:ptCount val="2"/>
                <c:pt idx="0">
                  <c:v>Mineral, fossil &amp; ren resource depletion</c:v>
                </c:pt>
                <c:pt idx="1">
                  <c:v>mPt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NO scenario'!$S$13:$V$13</c:f>
              <c:strCache>
                <c:ptCount val="4"/>
                <c:pt idx="0">
                  <c:v>2012 Product 0 (NO avg)</c:v>
                </c:pt>
                <c:pt idx="1">
                  <c:v>5000 hour replacement 1 (NO avg)</c:v>
                </c:pt>
                <c:pt idx="2">
                  <c:v>5000 hour replacement 2 (NO avg)</c:v>
                </c:pt>
                <c:pt idx="3">
                  <c:v>5000 hour replacement 3 (NO avg)</c:v>
                </c:pt>
              </c:strCache>
            </c:strRef>
          </c:cat>
          <c:val>
            <c:numRef>
              <c:f>'ILCD NO scenario'!$S$29:$V$29</c:f>
              <c:numCache>
                <c:formatCode>General</c:formatCode>
                <c:ptCount val="4"/>
                <c:pt idx="0">
                  <c:v>5.8476232436161801</c:v>
                </c:pt>
                <c:pt idx="1">
                  <c:v>7.2430154703887801</c:v>
                </c:pt>
                <c:pt idx="2">
                  <c:v>6.8989805719926398</c:v>
                </c:pt>
                <c:pt idx="3">
                  <c:v>6.7825640481559297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1CC-47F7-AA24-A787EC8C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9626944"/>
        <c:axId val="579624976"/>
      </c:barChart>
      <c:catAx>
        <c:axId val="57962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24976"/>
        <c:crosses val="autoZero"/>
        <c:auto val="1"/>
        <c:lblAlgn val="ctr"/>
        <c:lblOffset val="100"/>
        <c:noMultiLvlLbl val="0"/>
      </c:catAx>
      <c:valAx>
        <c:axId val="57962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2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'ILCD NO scenario'!$K$13</c:f>
              <c:strCache>
                <c:ptCount val="1"/>
                <c:pt idx="0">
                  <c:v>2012 Product 0 (NO avg)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'ILCD NO scenario'!$I$14:$J$29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NO scenario'!$K$14:$K$29</c:f>
              <c:numCache>
                <c:formatCode>General</c:formatCode>
                <c:ptCount val="16"/>
                <c:pt idx="0">
                  <c:v>2.5418326923780099E-3</c:v>
                </c:pt>
                <c:pt idx="1">
                  <c:v>1.3419107589756699E-4</c:v>
                </c:pt>
                <c:pt idx="2">
                  <c:v>0.110785062837835</c:v>
                </c:pt>
                <c:pt idx="3">
                  <c:v>0.127104452268715</c:v>
                </c:pt>
                <c:pt idx="4">
                  <c:v>5.7529583900931902E-3</c:v>
                </c:pt>
                <c:pt idx="5">
                  <c:v>4.5500796565218797E-3</c:v>
                </c:pt>
                <c:pt idx="6">
                  <c:v>0</c:v>
                </c:pt>
                <c:pt idx="7">
                  <c:v>2.53763534878308E-3</c:v>
                </c:pt>
                <c:pt idx="8">
                  <c:v>3.8090598600682298E-3</c:v>
                </c:pt>
                <c:pt idx="9">
                  <c:v>1.6257180834316899E-3</c:v>
                </c:pt>
                <c:pt idx="10">
                  <c:v>2.5863588818348299E-2</c:v>
                </c:pt>
                <c:pt idx="11">
                  <c:v>2.2117400891468598E-3</c:v>
                </c:pt>
                <c:pt idx="12">
                  <c:v>0.219309851468482</c:v>
                </c:pt>
                <c:pt idx="13">
                  <c:v>3.8420139335618397E-4</c:v>
                </c:pt>
                <c:pt idx="14">
                  <c:v>5.0120012473667201E-5</c:v>
                </c:pt>
                <c:pt idx="15">
                  <c:v>8.77099631560848E-2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4-4ABE-8352-41E2CFCF56E5}"/>
            </c:ext>
          </c:extLst>
        </c:ser>
        <c:ser>
          <c:idx val="1"/>
          <c:order val="1"/>
          <c:tx>
            <c:strRef>
              <c:f>'ILCD NO scenario'!$L$13</c:f>
              <c:strCache>
                <c:ptCount val="1"/>
                <c:pt idx="0">
                  <c:v>5000 hour replacement 1 (NO avg)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'ILCD NO scenario'!$I$14:$J$29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NO scenario'!$L$14:$L$29</c:f>
              <c:numCache>
                <c:formatCode>General</c:formatCode>
                <c:ptCount val="16"/>
                <c:pt idx="0">
                  <c:v>3.1848035219473698E-3</c:v>
                </c:pt>
                <c:pt idx="1">
                  <c:v>1.34627163101761E-4</c:v>
                </c:pt>
                <c:pt idx="2">
                  <c:v>0.14871939646387899</c:v>
                </c:pt>
                <c:pt idx="3">
                  <c:v>0.14499796457994199</c:v>
                </c:pt>
                <c:pt idx="4">
                  <c:v>7.78609823395941E-3</c:v>
                </c:pt>
                <c:pt idx="5">
                  <c:v>4.1786848564916599E-3</c:v>
                </c:pt>
                <c:pt idx="6">
                  <c:v>0</c:v>
                </c:pt>
                <c:pt idx="7">
                  <c:v>3.3179755367585399E-3</c:v>
                </c:pt>
                <c:pt idx="8">
                  <c:v>4.86470425941226E-3</c:v>
                </c:pt>
                <c:pt idx="9">
                  <c:v>2.15719726952311E-3</c:v>
                </c:pt>
                <c:pt idx="10">
                  <c:v>3.5005194041537499E-2</c:v>
                </c:pt>
                <c:pt idx="11">
                  <c:v>3.0153902350399599E-3</c:v>
                </c:pt>
                <c:pt idx="12">
                  <c:v>0.274416471850076</c:v>
                </c:pt>
                <c:pt idx="13">
                  <c:v>4.9277169949714199E-4</c:v>
                </c:pt>
                <c:pt idx="14">
                  <c:v>-1.21881818222684E-4</c:v>
                </c:pt>
                <c:pt idx="15">
                  <c:v>0.108639800065828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D4-4ABE-8352-41E2CFCF56E5}"/>
            </c:ext>
          </c:extLst>
        </c:ser>
        <c:ser>
          <c:idx val="2"/>
          <c:order val="2"/>
          <c:tx>
            <c:strRef>
              <c:f>'ILCD NO scenario'!$M$13</c:f>
              <c:strCache>
                <c:ptCount val="1"/>
                <c:pt idx="0">
                  <c:v>5000 hour replacement 2 (NO avg)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'ILCD NO scenario'!$I$14:$J$29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NO scenario'!$M$14:$M$29</c:f>
              <c:numCache>
                <c:formatCode>General</c:formatCode>
                <c:ptCount val="16"/>
                <c:pt idx="0">
                  <c:v>2.9142381320553701E-3</c:v>
                </c:pt>
                <c:pt idx="1">
                  <c:v>1.32678970255248E-4</c:v>
                </c:pt>
                <c:pt idx="2">
                  <c:v>0.13236133146054199</c:v>
                </c:pt>
                <c:pt idx="3">
                  <c:v>0.13645664972603699</c:v>
                </c:pt>
                <c:pt idx="4">
                  <c:v>6.9551693614646696E-3</c:v>
                </c:pt>
                <c:pt idx="5">
                  <c:v>4.2278712442485496E-3</c:v>
                </c:pt>
                <c:pt idx="6">
                  <c:v>0</c:v>
                </c:pt>
                <c:pt idx="7">
                  <c:v>3.0273850065650199E-3</c:v>
                </c:pt>
                <c:pt idx="8">
                  <c:v>4.4415448344461497E-3</c:v>
                </c:pt>
                <c:pt idx="9">
                  <c:v>1.9460644893070601E-3</c:v>
                </c:pt>
                <c:pt idx="10">
                  <c:v>3.11246370542307E-2</c:v>
                </c:pt>
                <c:pt idx="11">
                  <c:v>2.7439609014878398E-3</c:v>
                </c:pt>
                <c:pt idx="12">
                  <c:v>0.25068612989878802</c:v>
                </c:pt>
                <c:pt idx="13">
                  <c:v>4.5330944173011998E-4</c:v>
                </c:pt>
                <c:pt idx="14">
                  <c:v>-7.2912961793490604E-5</c:v>
                </c:pt>
                <c:pt idx="15">
                  <c:v>0.10347953460316001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D4-4ABE-8352-41E2CFCF56E5}"/>
            </c:ext>
          </c:extLst>
        </c:ser>
        <c:ser>
          <c:idx val="3"/>
          <c:order val="3"/>
          <c:tx>
            <c:strRef>
              <c:f>'ILCD NO scenario'!$N$13</c:f>
              <c:strCache>
                <c:ptCount val="1"/>
                <c:pt idx="0">
                  <c:v>5000 hour replacement 3 (NO avg)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'ILCD NO scenario'!$I$14:$J$29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NO scenario'!$N$14:$N$29</c:f>
              <c:numCache>
                <c:formatCode>General</c:formatCode>
                <c:ptCount val="16"/>
                <c:pt idx="0">
                  <c:v>2.916127726226E-3</c:v>
                </c:pt>
                <c:pt idx="1">
                  <c:v>1.3831250187546401E-4</c:v>
                </c:pt>
                <c:pt idx="2">
                  <c:v>0.13765525458678299</c:v>
                </c:pt>
                <c:pt idx="3">
                  <c:v>0.141153079440996</c:v>
                </c:pt>
                <c:pt idx="4">
                  <c:v>6.8607002803779604E-3</c:v>
                </c:pt>
                <c:pt idx="5">
                  <c:v>4.5070308561739898E-3</c:v>
                </c:pt>
                <c:pt idx="6">
                  <c:v>0</c:v>
                </c:pt>
                <c:pt idx="7">
                  <c:v>3.0048845167944299E-3</c:v>
                </c:pt>
                <c:pt idx="8">
                  <c:v>4.4289894244907502E-3</c:v>
                </c:pt>
                <c:pt idx="9">
                  <c:v>1.9305808845271699E-3</c:v>
                </c:pt>
                <c:pt idx="10">
                  <c:v>3.2233730590598399E-2</c:v>
                </c:pt>
                <c:pt idx="11">
                  <c:v>2.64455622821978E-3</c:v>
                </c:pt>
                <c:pt idx="12">
                  <c:v>0.25977048470995401</c:v>
                </c:pt>
                <c:pt idx="13">
                  <c:v>4.48728517843714E-4</c:v>
                </c:pt>
                <c:pt idx="14">
                  <c:v>-4.0399765664874002E-5</c:v>
                </c:pt>
                <c:pt idx="15">
                  <c:v>0.101733374053636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D4-4ABE-8352-41E2CFCF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590992"/>
        <c:axId val="429591976"/>
      </c:barChart>
      <c:catAx>
        <c:axId val="42959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91976"/>
        <c:crosses val="autoZero"/>
        <c:auto val="1"/>
        <c:lblAlgn val="ctr"/>
        <c:lblOffset val="100"/>
        <c:noMultiLvlLbl val="0"/>
      </c:catAx>
      <c:valAx>
        <c:axId val="42959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9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'ILCD SE normalised global'!$B$8</c:f>
              <c:strCache>
                <c:ptCount val="1"/>
                <c:pt idx="0">
                  <c:v>2012 Product 0 (SE avg)</c:v>
                </c:pt>
              </c:strCache>
            </c:strRef>
          </c:tx>
          <c:invertIfNegative val="0"/>
          <c:cat>
            <c:strRef>
              <c:f>'ILCD SE normalised global'!$A$9:$A$24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normalised global'!$B$9:$B$24</c:f>
              <c:numCache>
                <c:formatCode>0.####</c:formatCode>
                <c:ptCount val="16"/>
                <c:pt idx="0">
                  <c:v>4.2892509511442706E-3</c:v>
                </c:pt>
                <c:pt idx="1">
                  <c:v>1.6095264995157161E-3</c:v>
                </c:pt>
                <c:pt idx="2">
                  <c:v>0.45232963471527515</c:v>
                </c:pt>
                <c:pt idx="3">
                  <c:v>0.43454786066664397</c:v>
                </c:pt>
                <c:pt idx="4">
                  <c:v>6.5688789737017887E-3</c:v>
                </c:pt>
                <c:pt idx="5">
                  <c:v>0.54433471350689311</c:v>
                </c:pt>
                <c:pt idx="6" formatCode="0">
                  <c:v>0</c:v>
                </c:pt>
                <c:pt idx="7">
                  <c:v>2.928702113111077E-3</c:v>
                </c:pt>
                <c:pt idx="8">
                  <c:v>4.6537921745442431E-3</c:v>
                </c:pt>
                <c:pt idx="9">
                  <c:v>3.364077826762759E-3</c:v>
                </c:pt>
                <c:pt idx="10">
                  <c:v>6.2181839840734056E-3</c:v>
                </c:pt>
                <c:pt idx="11" formatCode="0.###">
                  <c:v>2.00384009787071E-3</c:v>
                </c:pt>
                <c:pt idx="12">
                  <c:v>0.53117359176849333</c:v>
                </c:pt>
                <c:pt idx="13" formatCode="0.0#E+00">
                  <c:v>3.1319036580939446E-5</c:v>
                </c:pt>
                <c:pt idx="14">
                  <c:v>1.2420034297601764E-3</c:v>
                </c:pt>
                <c:pt idx="15">
                  <c:v>5.1291664675873712E-2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F-4A66-9997-630A58B87128}"/>
            </c:ext>
          </c:extLst>
        </c:ser>
        <c:ser>
          <c:idx val="1"/>
          <c:order val="1"/>
          <c:tx>
            <c:strRef>
              <c:f>'ILCD SE normalised global'!$C$8</c:f>
              <c:strCache>
                <c:ptCount val="1"/>
                <c:pt idx="0">
                  <c:v>5000 hour replacement 1 (SE avg)</c:v>
                </c:pt>
              </c:strCache>
            </c:strRef>
          </c:tx>
          <c:invertIfNegative val="0"/>
          <c:cat>
            <c:strRef>
              <c:f>'ILCD SE normalised global'!$A$9:$A$24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normalised global'!$C$9:$C$24</c:f>
              <c:numCache>
                <c:formatCode>0.####</c:formatCode>
                <c:ptCount val="16"/>
                <c:pt idx="0">
                  <c:v>4.8793149795038262E-3</c:v>
                </c:pt>
                <c:pt idx="1">
                  <c:v>1.2605178962158837E-3</c:v>
                </c:pt>
                <c:pt idx="2">
                  <c:v>0.5645781719571118</c:v>
                </c:pt>
                <c:pt idx="3">
                  <c:v>0.47343873702043171</c:v>
                </c:pt>
                <c:pt idx="4">
                  <c:v>7.5173071059381792E-3</c:v>
                </c:pt>
                <c:pt idx="5">
                  <c:v>0.4092529260912478</c:v>
                </c:pt>
                <c:pt idx="6" formatCode="0">
                  <c:v>0</c:v>
                </c:pt>
                <c:pt idx="7">
                  <c:v>3.1808272349669623E-3</c:v>
                </c:pt>
                <c:pt idx="8">
                  <c:v>5.1761470479750075E-3</c:v>
                </c:pt>
                <c:pt idx="9">
                  <c:v>3.5215770404430696E-3</c:v>
                </c:pt>
                <c:pt idx="10">
                  <c:v>8.1937955841688611E-3</c:v>
                </c:pt>
                <c:pt idx="11">
                  <c:v>2.2531985544400001E-3</c:v>
                </c:pt>
                <c:pt idx="12">
                  <c:v>0.65519390334393357</c:v>
                </c:pt>
                <c:pt idx="13" formatCode="0.0#E+00">
                  <c:v>2.6304923171713662E-5</c:v>
                </c:pt>
                <c:pt idx="14">
                  <c:v>7.3724052455866691E-4</c:v>
                </c:pt>
                <c:pt idx="15">
                  <c:v>6.0869962466244112E-2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F-4A66-9997-630A58B87128}"/>
            </c:ext>
          </c:extLst>
        </c:ser>
        <c:ser>
          <c:idx val="2"/>
          <c:order val="2"/>
          <c:tx>
            <c:strRef>
              <c:f>'ILCD SE normalised global'!$D$8</c:f>
              <c:strCache>
                <c:ptCount val="1"/>
                <c:pt idx="0">
                  <c:v>5000 hour replacement 2 (SE avg)</c:v>
                </c:pt>
              </c:strCache>
            </c:strRef>
          </c:tx>
          <c:invertIfNegative val="0"/>
          <c:cat>
            <c:strRef>
              <c:f>'ILCD SE normalised global'!$A$9:$A$24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normalised global'!$D$9:$D$24</c:f>
              <c:numCache>
                <c:formatCode>0.####</c:formatCode>
                <c:ptCount val="16"/>
                <c:pt idx="0">
                  <c:v>4.5878135704833529E-3</c:v>
                </c:pt>
                <c:pt idx="1">
                  <c:v>1.343436291868487E-3</c:v>
                </c:pt>
                <c:pt idx="2">
                  <c:v>0.51282064806761041</c:v>
                </c:pt>
                <c:pt idx="3">
                  <c:v>0.45156643398078772</c:v>
                </c:pt>
                <c:pt idx="4" formatCode="0.###">
                  <c:v>7.0366032659799497E-3</c:v>
                </c:pt>
                <c:pt idx="5">
                  <c:v>0.44240788419429594</c:v>
                </c:pt>
                <c:pt idx="6" formatCode="0">
                  <c:v>0</c:v>
                </c:pt>
                <c:pt idx="7" formatCode="0.###">
                  <c:v>3.0500577722332354E-3</c:v>
                </c:pt>
                <c:pt idx="8">
                  <c:v>4.9101571813807993E-3</c:v>
                </c:pt>
                <c:pt idx="9">
                  <c:v>3.3969405570601218E-3</c:v>
                </c:pt>
                <c:pt idx="10">
                  <c:v>7.3386231812608439E-3</c:v>
                </c:pt>
                <c:pt idx="11">
                  <c:v>2.1510490863700547E-3</c:v>
                </c:pt>
                <c:pt idx="12">
                  <c:v>0.60091328364922414</c:v>
                </c:pt>
                <c:pt idx="13" formatCode="0.0#E+00">
                  <c:v>2.7360980114104919E-5</c:v>
                </c:pt>
                <c:pt idx="14">
                  <c:v>8.6955349637543805E-4</c:v>
                </c:pt>
                <c:pt idx="15">
                  <c:v>5.8508933544930648E-2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F-4A66-9997-630A58B87128}"/>
            </c:ext>
          </c:extLst>
        </c:ser>
        <c:ser>
          <c:idx val="3"/>
          <c:order val="3"/>
          <c:tx>
            <c:strRef>
              <c:f>'ILCD SE normalised global'!$E$8</c:f>
              <c:strCache>
                <c:ptCount val="1"/>
                <c:pt idx="0">
                  <c:v>5000 hour replacement 3 (SE avg)</c:v>
                </c:pt>
              </c:strCache>
            </c:strRef>
          </c:tx>
          <c:invertIfNegative val="0"/>
          <c:cat>
            <c:strRef>
              <c:f>'ILCD SE normalised global'!$A$9:$A$24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normalised global'!$E$9:$E$24</c:f>
              <c:numCache>
                <c:formatCode>0.####</c:formatCode>
                <c:ptCount val="16"/>
                <c:pt idx="0">
                  <c:v>4.6838239786968295E-3</c:v>
                </c:pt>
                <c:pt idx="1">
                  <c:v>1.4851169108121281E-3</c:v>
                </c:pt>
                <c:pt idx="2">
                  <c:v>0.53787663395750507</c:v>
                </c:pt>
                <c:pt idx="3">
                  <c:v>0.47094789111095475</c:v>
                </c:pt>
                <c:pt idx="4">
                  <c:v>7.1824691013062138E-3</c:v>
                </c:pt>
                <c:pt idx="5">
                  <c:v>0.49392483748000726</c:v>
                </c:pt>
                <c:pt idx="6" formatCode="0">
                  <c:v>0</c:v>
                </c:pt>
                <c:pt idx="7">
                  <c:v>3.1449927050085976E-3</c:v>
                </c:pt>
                <c:pt idx="8" formatCode="0.###">
                  <c:v>5.038024989167101E-3</c:v>
                </c:pt>
                <c:pt idx="9">
                  <c:v>3.5357863058043141E-3</c:v>
                </c:pt>
                <c:pt idx="10">
                  <c:v>7.6246763895521062E-3</c:v>
                </c:pt>
                <c:pt idx="11">
                  <c:v>2.170119709340175E-3</c:v>
                </c:pt>
                <c:pt idx="12">
                  <c:v>0.62393454867977849</c:v>
                </c:pt>
                <c:pt idx="13" formatCode="0.0#E+00">
                  <c:v>2.9771160141301329E-5</c:v>
                </c:pt>
                <c:pt idx="14" formatCode="0.###">
                  <c:v>1.0215132685315854E-3</c:v>
                </c:pt>
                <c:pt idx="15">
                  <c:v>5.8112738983403384E-2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0F-4A66-9997-630A58B87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757000"/>
        <c:axId val="599766840"/>
      </c:barChart>
      <c:catAx>
        <c:axId val="59975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9766840"/>
        <c:crosses val="autoZero"/>
        <c:auto val="1"/>
        <c:lblAlgn val="ctr"/>
        <c:lblOffset val="100"/>
        <c:noMultiLvlLbl val="0"/>
      </c:catAx>
      <c:valAx>
        <c:axId val="599766840"/>
        <c:scaling>
          <c:orientation val="minMax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599757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'ILCD SE scenario'!$K$14</c:f>
              <c:strCache>
                <c:ptCount val="1"/>
                <c:pt idx="0">
                  <c:v>2012 Product 0 (SE avg)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'ILCD SE scenario'!$I$15:$J$30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scenario'!$K$15:$K$30</c:f>
              <c:numCache>
                <c:formatCode>General</c:formatCode>
                <c:ptCount val="16"/>
                <c:pt idx="0">
                  <c:v>3.2890433472218998E-3</c:v>
                </c:pt>
                <c:pt idx="1">
                  <c:v>9.0908684811606395E-4</c:v>
                </c:pt>
                <c:pt idx="2">
                  <c:v>0.13154059314956801</c:v>
                </c:pt>
                <c:pt idx="3">
                  <c:v>0.146027371671204</c:v>
                </c:pt>
                <c:pt idx="4">
                  <c:v>8.7642558163518892E-3</c:v>
                </c:pt>
                <c:pt idx="5">
                  <c:v>0.11609258991131299</c:v>
                </c:pt>
                <c:pt idx="6">
                  <c:v>0</c:v>
                </c:pt>
                <c:pt idx="7">
                  <c:v>4.1851849716678701E-3</c:v>
                </c:pt>
                <c:pt idx="8">
                  <c:v>5.5196048670903101E-3</c:v>
                </c:pt>
                <c:pt idx="9">
                  <c:v>3.1346993545123898E-3</c:v>
                </c:pt>
                <c:pt idx="10">
                  <c:v>2.74776997588227E-2</c:v>
                </c:pt>
                <c:pt idx="11">
                  <c:v>3.6045449490393999E-3</c:v>
                </c:pt>
                <c:pt idx="12">
                  <c:v>0.227297320950647</c:v>
                </c:pt>
                <c:pt idx="13">
                  <c:v>2.17725835664965E-3</c:v>
                </c:pt>
                <c:pt idx="14">
                  <c:v>1.05127617402775E-3</c:v>
                </c:pt>
                <c:pt idx="15">
                  <c:v>9.8012829080418404E-2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9-4C49-8F75-3687EF4AF2E9}"/>
            </c:ext>
          </c:extLst>
        </c:ser>
        <c:ser>
          <c:idx val="1"/>
          <c:order val="1"/>
          <c:tx>
            <c:strRef>
              <c:f>'ILCD SE scenario'!$L$14</c:f>
              <c:strCache>
                <c:ptCount val="1"/>
                <c:pt idx="0">
                  <c:v>5000 hour replacement 1 (SE avg)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'ILCD SE scenario'!$I$15:$J$30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scenario'!$L$15:$L$30</c:f>
              <c:numCache>
                <c:formatCode>General</c:formatCode>
                <c:ptCount val="16"/>
                <c:pt idx="0">
                  <c:v>3.7415107334896999E-3</c:v>
                </c:pt>
                <c:pt idx="1">
                  <c:v>7.1196109017750402E-4</c:v>
                </c:pt>
                <c:pt idx="2">
                  <c:v>0.164183245843012</c:v>
                </c:pt>
                <c:pt idx="3">
                  <c:v>0.15909643257331199</c:v>
                </c:pt>
                <c:pt idx="4">
                  <c:v>1.0029656930852801E-2</c:v>
                </c:pt>
                <c:pt idx="5">
                  <c:v>8.7283119999133796E-2</c:v>
                </c:pt>
                <c:pt idx="6">
                  <c:v>0</c:v>
                </c:pt>
                <c:pt idx="7">
                  <c:v>4.5454777669806301E-3</c:v>
                </c:pt>
                <c:pt idx="8">
                  <c:v>6.1391410203176702E-3</c:v>
                </c:pt>
                <c:pt idx="9">
                  <c:v>3.2814595392893901E-3</c:v>
                </c:pt>
                <c:pt idx="10">
                  <c:v>3.6207782774460497E-2</c:v>
                </c:pt>
                <c:pt idx="11">
                  <c:v>4.0530955924176996E-3</c:v>
                </c:pt>
                <c:pt idx="12">
                  <c:v>0.28036751307128199</c:v>
                </c:pt>
                <c:pt idx="13">
                  <c:v>1.8286837670956999E-3</c:v>
                </c:pt>
                <c:pt idx="14">
                  <c:v>6.2402677756369395E-4</c:v>
                </c:pt>
                <c:pt idx="15">
                  <c:v>0.116315921213252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9-4C49-8F75-3687EF4AF2E9}"/>
            </c:ext>
          </c:extLst>
        </c:ser>
        <c:ser>
          <c:idx val="2"/>
          <c:order val="2"/>
          <c:tx>
            <c:strRef>
              <c:f>'ILCD SE scenario'!$M$14</c:f>
              <c:strCache>
                <c:ptCount val="1"/>
                <c:pt idx="0">
                  <c:v>5000 hour replacement 2 (SE avg)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'ILCD SE scenario'!$I$15:$J$30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scenario'!$M$15:$M$30</c:f>
              <c:numCache>
                <c:formatCode>General</c:formatCode>
                <c:ptCount val="16"/>
                <c:pt idx="0">
                  <c:v>3.5179843460236698E-3</c:v>
                </c:pt>
                <c:pt idx="1">
                  <c:v>7.5879475397697799E-4</c:v>
                </c:pt>
                <c:pt idx="2">
                  <c:v>0.14913179913277499</c:v>
                </c:pt>
                <c:pt idx="3">
                  <c:v>0.15174636779477399</c:v>
                </c:pt>
                <c:pt idx="4">
                  <c:v>9.3882976605476308E-3</c:v>
                </c:pt>
                <c:pt idx="5">
                  <c:v>9.4354219561729097E-2</c:v>
                </c:pt>
                <c:pt idx="6">
                  <c:v>0</c:v>
                </c:pt>
                <c:pt idx="7">
                  <c:v>4.3586050947015901E-3</c:v>
                </c:pt>
                <c:pt idx="8">
                  <c:v>5.8236651874515703E-3</c:v>
                </c:pt>
                <c:pt idx="9">
                  <c:v>3.1653213510165002E-3</c:v>
                </c:pt>
                <c:pt idx="10">
                  <c:v>3.2428838537795303E-2</c:v>
                </c:pt>
                <c:pt idx="11">
                  <c:v>3.86934722368814E-3</c:v>
                </c:pt>
                <c:pt idx="12">
                  <c:v>0.257140003971912</c:v>
                </c:pt>
                <c:pt idx="13">
                  <c:v>1.9020994609973E-3</c:v>
                </c:pt>
                <c:pt idx="14">
                  <c:v>7.3602121449743002E-4</c:v>
                </c:pt>
                <c:pt idx="15">
                  <c:v>0.11180425005613601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9-4C49-8F75-3687EF4AF2E9}"/>
            </c:ext>
          </c:extLst>
        </c:ser>
        <c:ser>
          <c:idx val="3"/>
          <c:order val="3"/>
          <c:tx>
            <c:strRef>
              <c:f>'ILCD SE scenario'!$N$14</c:f>
              <c:strCache>
                <c:ptCount val="1"/>
                <c:pt idx="0">
                  <c:v>5000 hour replacement 3 (SE avg)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'ILCD SE scenario'!$I$15:$J$30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scenario'!$N$15:$N$30</c:f>
              <c:numCache>
                <c:formatCode>General</c:formatCode>
                <c:ptCount val="16"/>
                <c:pt idx="0">
                  <c:v>3.5916061503888999E-3</c:v>
                </c:pt>
                <c:pt idx="1">
                  <c:v>8.3881828099151496E-4</c:v>
                </c:pt>
                <c:pt idx="2">
                  <c:v>0.156418253507976</c:v>
                </c:pt>
                <c:pt idx="3">
                  <c:v>0.15825939777387499</c:v>
                </c:pt>
                <c:pt idx="4">
                  <c:v>9.5829131346312907E-3</c:v>
                </c:pt>
                <c:pt idx="5">
                  <c:v>0.1053414602849</c:v>
                </c:pt>
                <c:pt idx="6">
                  <c:v>0</c:v>
                </c:pt>
                <c:pt idx="7">
                  <c:v>4.4942693714332804E-3</c:v>
                </c:pt>
                <c:pt idx="8">
                  <c:v>5.9753221045915099E-3</c:v>
                </c:pt>
                <c:pt idx="9">
                  <c:v>3.29469995085231E-3</c:v>
                </c:pt>
                <c:pt idx="10">
                  <c:v>3.3692886721735801E-2</c:v>
                </c:pt>
                <c:pt idx="11">
                  <c:v>3.9036518160431E-3</c:v>
                </c:pt>
                <c:pt idx="12">
                  <c:v>0.26699115611394098</c:v>
                </c:pt>
                <c:pt idx="13">
                  <c:v>2.06965201618788E-3</c:v>
                </c:pt>
                <c:pt idx="14">
                  <c:v>8.64645406710234E-4</c:v>
                </c:pt>
                <c:pt idx="15">
                  <c:v>0.111047165058272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99-4C49-8F75-3687EF4AF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815440"/>
        <c:axId val="428816424"/>
      </c:barChart>
      <c:catAx>
        <c:axId val="42881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816424"/>
        <c:crosses val="autoZero"/>
        <c:auto val="1"/>
        <c:lblAlgn val="ctr"/>
        <c:lblOffset val="100"/>
        <c:noMultiLvlLbl val="0"/>
      </c:catAx>
      <c:valAx>
        <c:axId val="42881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81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'ILCD SE scenario'!$P$15:$Q$15</c:f>
              <c:strCache>
                <c:ptCount val="2"/>
                <c:pt idx="0">
                  <c:v>Climate change</c:v>
                </c:pt>
                <c:pt idx="1">
                  <c:v>mPt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scenario'!$R$15:$U$15</c:f>
              <c:numCache>
                <c:formatCode>General</c:formatCode>
                <c:ptCount val="4"/>
                <c:pt idx="0">
                  <c:v>0.21928051995928299</c:v>
                </c:pt>
                <c:pt idx="1">
                  <c:v>0.24944652060175901</c:v>
                </c:pt>
                <c:pt idx="2">
                  <c:v>0.234544016349398</c:v>
                </c:pt>
                <c:pt idx="3">
                  <c:v>0.23945238204642699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A-46B2-A74A-A783C419A9E8}"/>
            </c:ext>
          </c:extLst>
        </c:ser>
        <c:ser>
          <c:idx val="1"/>
          <c:order val="1"/>
          <c:tx>
            <c:strRef>
              <c:f>'ILCD SE scenario'!$P$16:$Q$16</c:f>
              <c:strCache>
                <c:ptCount val="2"/>
                <c:pt idx="0">
                  <c:v>Ozone depletion</c:v>
                </c:pt>
                <c:pt idx="1">
                  <c:v>mPt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scenario'!$R$16:$U$16</c:f>
              <c:numCache>
                <c:formatCode>General</c:formatCode>
                <c:ptCount val="4"/>
                <c:pt idx="0">
                  <c:v>6.0608820163898E-2</c:v>
                </c:pt>
                <c:pt idx="1">
                  <c:v>4.7466445882134098E-2</c:v>
                </c:pt>
                <c:pt idx="2">
                  <c:v>5.0588846247645203E-2</c:v>
                </c:pt>
                <c:pt idx="3">
                  <c:v>5.5924014793704298E-2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A-46B2-A74A-A783C419A9E8}"/>
            </c:ext>
          </c:extLst>
        </c:ser>
        <c:ser>
          <c:idx val="2"/>
          <c:order val="2"/>
          <c:tx>
            <c:strRef>
              <c:f>'ILCD SE scenario'!$P$17:$Q$17</c:f>
              <c:strCache>
                <c:ptCount val="2"/>
                <c:pt idx="0">
                  <c:v>Human toxicity, non-cancer effects</c:v>
                </c:pt>
                <c:pt idx="1">
                  <c:v>mPt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scenario'!$R$17:$U$17</c:f>
              <c:numCache>
                <c:formatCode>General</c:formatCode>
                <c:ptCount val="4"/>
                <c:pt idx="0">
                  <c:v>8.7698113452817008</c:v>
                </c:pt>
                <c:pt idx="1">
                  <c:v>10.9460970003536</c:v>
                </c:pt>
                <c:pt idx="2">
                  <c:v>9.9426170481820701</c:v>
                </c:pt>
                <c:pt idx="3">
                  <c:v>10.4284049613767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CA-46B2-A74A-A783C419A9E8}"/>
            </c:ext>
          </c:extLst>
        </c:ser>
        <c:ser>
          <c:idx val="3"/>
          <c:order val="3"/>
          <c:tx>
            <c:strRef>
              <c:f>'ILCD SE scenario'!$P$18:$Q$18</c:f>
              <c:strCache>
                <c:ptCount val="2"/>
                <c:pt idx="0">
                  <c:v>Human toxicity, cancer effects</c:v>
                </c:pt>
                <c:pt idx="1">
                  <c:v>mPt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scenario'!$R$18:$U$18</c:f>
              <c:numCache>
                <c:formatCode>General</c:formatCode>
                <c:ptCount val="4"/>
                <c:pt idx="0">
                  <c:v>9.73564486931914</c:v>
                </c:pt>
                <c:pt idx="1">
                  <c:v>10.606959159662701</c:v>
                </c:pt>
                <c:pt idx="2">
                  <c:v>10.1169303408776</c:v>
                </c:pt>
                <c:pt idx="3">
                  <c:v>10.5511540495842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CA-46B2-A74A-A783C419A9E8}"/>
            </c:ext>
          </c:extLst>
        </c:ser>
        <c:ser>
          <c:idx val="4"/>
          <c:order val="4"/>
          <c:tx>
            <c:strRef>
              <c:f>'ILCD SE scenario'!$P$19:$Q$19</c:f>
              <c:strCache>
                <c:ptCount val="2"/>
                <c:pt idx="0">
                  <c:v>Particulate matter</c:v>
                </c:pt>
                <c:pt idx="1">
                  <c:v>mPt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scenario'!$R$19:$U$19</c:f>
              <c:numCache>
                <c:formatCode>General</c:formatCode>
                <c:ptCount val="4"/>
                <c:pt idx="0">
                  <c:v>0.584312935276177</c:v>
                </c:pt>
                <c:pt idx="1">
                  <c:v>0.66867722757995596</c:v>
                </c:pt>
                <c:pt idx="2">
                  <c:v>0.62591780502871297</c:v>
                </c:pt>
                <c:pt idx="3">
                  <c:v>0.638892818685868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CA-46B2-A74A-A783C419A9E8}"/>
            </c:ext>
          </c:extLst>
        </c:ser>
        <c:ser>
          <c:idx val="5"/>
          <c:order val="5"/>
          <c:tx>
            <c:strRef>
              <c:f>'ILCD SE scenario'!$P$20:$Q$20</c:f>
              <c:strCache>
                <c:ptCount val="2"/>
                <c:pt idx="0">
                  <c:v>Ionizing radiation HH</c:v>
                </c:pt>
                <c:pt idx="1">
                  <c:v>mPt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scenario'!$R$20:$U$20</c:f>
              <c:numCache>
                <c:formatCode>General</c:formatCode>
                <c:ptCount val="4"/>
                <c:pt idx="0">
                  <c:v>7.7398929693872596</c:v>
                </c:pt>
                <c:pt idx="1">
                  <c:v>5.8191656103422602</c:v>
                </c:pt>
                <c:pt idx="2">
                  <c:v>6.2905958181804804</c:v>
                </c:pt>
                <c:pt idx="3">
                  <c:v>7.0231151571942698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CA-46B2-A74A-A783C419A9E8}"/>
            </c:ext>
          </c:extLst>
        </c:ser>
        <c:ser>
          <c:idx val="6"/>
          <c:order val="6"/>
          <c:tx>
            <c:strRef>
              <c:f>'ILCD SE scenario'!$P$21:$Q$21</c:f>
              <c:strCache>
                <c:ptCount val="2"/>
                <c:pt idx="0">
                  <c:v>Ionizing radiation E (interim)</c:v>
                </c:pt>
                <c:pt idx="1">
                  <c:v>mPt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scenario'!$R$21:$U$21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CA-46B2-A74A-A783C419A9E8}"/>
            </c:ext>
          </c:extLst>
        </c:ser>
        <c:ser>
          <c:idx val="7"/>
          <c:order val="7"/>
          <c:tx>
            <c:strRef>
              <c:f>'ILCD SE scenario'!$P$22:$Q$22</c:f>
              <c:strCache>
                <c:ptCount val="2"/>
                <c:pt idx="0">
                  <c:v>Photochemical ozone formation</c:v>
                </c:pt>
                <c:pt idx="1">
                  <c:v>mPt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scenario'!$R$22:$U$22</c:f>
              <c:numCache>
                <c:formatCode>General</c:formatCode>
                <c:ptCount val="4"/>
                <c:pt idx="0">
                  <c:v>0.27902628206109598</c:v>
                </c:pt>
                <c:pt idx="1">
                  <c:v>0.303047002724598</c:v>
                </c:pt>
                <c:pt idx="2">
                  <c:v>0.29058820166375599</c:v>
                </c:pt>
                <c:pt idx="3">
                  <c:v>0.299632938993458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CA-46B2-A74A-A783C419A9E8}"/>
            </c:ext>
          </c:extLst>
        </c:ser>
        <c:ser>
          <c:idx val="8"/>
          <c:order val="8"/>
          <c:tx>
            <c:strRef>
              <c:f>'ILCD SE scenario'!$P$23:$Q$23</c:f>
              <c:strCache>
                <c:ptCount val="2"/>
                <c:pt idx="0">
                  <c:v>Acidification</c:v>
                </c:pt>
                <c:pt idx="1">
                  <c:v>mPt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scenario'!$R$23:$U$23</c:f>
              <c:numCache>
                <c:formatCode>General</c:formatCode>
                <c:ptCount val="4"/>
                <c:pt idx="0">
                  <c:v>0.36799205648891098</c:v>
                </c:pt>
                <c:pt idx="1">
                  <c:v>0.40929653182457798</c:v>
                </c:pt>
                <c:pt idx="2">
                  <c:v>0.38826375804739699</c:v>
                </c:pt>
                <c:pt idx="3">
                  <c:v>0.39837472471311502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CA-46B2-A74A-A783C419A9E8}"/>
            </c:ext>
          </c:extLst>
        </c:ser>
        <c:ser>
          <c:idx val="9"/>
          <c:order val="9"/>
          <c:tx>
            <c:strRef>
              <c:f>'ILCD SE scenario'!$P$24:$Q$24</c:f>
              <c:strCache>
                <c:ptCount val="2"/>
                <c:pt idx="0">
                  <c:v>Terrestrial eutrophication</c:v>
                </c:pt>
                <c:pt idx="1">
                  <c:v>mPt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scenario'!$R$24:$U$24</c:f>
              <c:numCache>
                <c:formatCode>General</c:formatCode>
                <c:ptCount val="4"/>
                <c:pt idx="0">
                  <c:v>0.20899040596534199</c:v>
                </c:pt>
                <c:pt idx="1">
                  <c:v>0.21877490748442299</c:v>
                </c:pt>
                <c:pt idx="2">
                  <c:v>0.21103197447227001</c:v>
                </c:pt>
                <c:pt idx="3">
                  <c:v>0.219657645723323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CA-46B2-A74A-A783C419A9E8}"/>
            </c:ext>
          </c:extLst>
        </c:ser>
        <c:ser>
          <c:idx val="10"/>
          <c:order val="10"/>
          <c:tx>
            <c:strRef>
              <c:f>'ILCD SE scenario'!$P$25:$Q$25</c:f>
              <c:strCache>
                <c:ptCount val="2"/>
                <c:pt idx="0">
                  <c:v>Freshwater eutrophication</c:v>
                </c:pt>
                <c:pt idx="1">
                  <c:v>mPt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scenario'!$R$25:$U$25</c:f>
              <c:numCache>
                <c:formatCode>General</c:formatCode>
                <c:ptCount val="4"/>
                <c:pt idx="0">
                  <c:v>1.8319382429207101</c:v>
                </c:pt>
                <c:pt idx="1">
                  <c:v>2.4139728775732801</c:v>
                </c:pt>
                <c:pt idx="2">
                  <c:v>2.1620306653148198</c:v>
                </c:pt>
                <c:pt idx="3">
                  <c:v>2.2463047577381299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CA-46B2-A74A-A783C419A9E8}"/>
            </c:ext>
          </c:extLst>
        </c:ser>
        <c:ser>
          <c:idx val="11"/>
          <c:order val="11"/>
          <c:tx>
            <c:strRef>
              <c:f>'ILCD SE scenario'!$P$26:$Q$26</c:f>
              <c:strCache>
                <c:ptCount val="2"/>
                <c:pt idx="0">
                  <c:v>Marine eutrophication</c:v>
                </c:pt>
                <c:pt idx="1">
                  <c:v>mPt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scenario'!$R$26:$U$26</c:f>
              <c:numCache>
                <c:formatCode>General</c:formatCode>
                <c:ptCount val="4"/>
                <c:pt idx="0">
                  <c:v>0.24031501175245801</c:v>
                </c:pt>
                <c:pt idx="1">
                  <c:v>0.27021988314648798</c:v>
                </c:pt>
                <c:pt idx="2">
                  <c:v>0.25796937940328901</c:v>
                </c:pt>
                <c:pt idx="3">
                  <c:v>0.26025646657559398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CA-46B2-A74A-A783C419A9E8}"/>
            </c:ext>
          </c:extLst>
        </c:ser>
        <c:ser>
          <c:idx val="12"/>
          <c:order val="12"/>
          <c:tx>
            <c:strRef>
              <c:f>'ILCD SE scenario'!$P$27:$Q$27</c:f>
              <c:strCache>
                <c:ptCount val="2"/>
                <c:pt idx="0">
                  <c:v>Freshwater ecotoxicity</c:v>
                </c:pt>
                <c:pt idx="1">
                  <c:v>mPt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scenario'!$R$27:$U$27</c:f>
              <c:numCache>
                <c:formatCode>General</c:formatCode>
                <c:ptCount val="4"/>
                <c:pt idx="0">
                  <c:v>15.1539123877796</c:v>
                </c:pt>
                <c:pt idx="1">
                  <c:v>18.692102096462399</c:v>
                </c:pt>
                <c:pt idx="2">
                  <c:v>17.143524064807298</c:v>
                </c:pt>
                <c:pt idx="3">
                  <c:v>17.8003003781164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CA-46B2-A74A-A783C419A9E8}"/>
            </c:ext>
          </c:extLst>
        </c:ser>
        <c:ser>
          <c:idx val="13"/>
          <c:order val="13"/>
          <c:tx>
            <c:strRef>
              <c:f>'ILCD SE scenario'!$P$28:$Q$28</c:f>
              <c:strCache>
                <c:ptCount val="2"/>
                <c:pt idx="0">
                  <c:v>Land use</c:v>
                </c:pt>
                <c:pt idx="1">
                  <c:v>mPt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scenario'!$R$28:$U$28</c:f>
              <c:numCache>
                <c:formatCode>General</c:formatCode>
                <c:ptCount val="4"/>
                <c:pt idx="0">
                  <c:v>0.14515781463783201</c:v>
                </c:pt>
                <c:pt idx="1">
                  <c:v>0.12191834675226999</c:v>
                </c:pt>
                <c:pt idx="2">
                  <c:v>0.12681297106469</c:v>
                </c:pt>
                <c:pt idx="3">
                  <c:v>0.137983699919245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FCA-46B2-A74A-A783C419A9E8}"/>
            </c:ext>
          </c:extLst>
        </c:ser>
        <c:ser>
          <c:idx val="14"/>
          <c:order val="14"/>
          <c:tx>
            <c:strRef>
              <c:f>'ILCD SE scenario'!$P$29:$Q$29</c:f>
              <c:strCache>
                <c:ptCount val="2"/>
                <c:pt idx="0">
                  <c:v>Water resource depletion</c:v>
                </c:pt>
                <c:pt idx="1">
                  <c:v>mPt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scenario'!$R$29:$U$29</c:f>
              <c:numCache>
                <c:formatCode>General</c:formatCode>
                <c:ptCount val="4"/>
                <c:pt idx="0">
                  <c:v>7.0088582522428694E-2</c:v>
                </c:pt>
                <c:pt idx="1">
                  <c:v>4.1603865260172401E-2</c:v>
                </c:pt>
                <c:pt idx="2">
                  <c:v>4.90705343705439E-2</c:v>
                </c:pt>
                <c:pt idx="3">
                  <c:v>5.7645909265370901E-2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CA-46B2-A74A-A783C419A9E8}"/>
            </c:ext>
          </c:extLst>
        </c:ser>
        <c:ser>
          <c:idx val="15"/>
          <c:order val="15"/>
          <c:tx>
            <c:strRef>
              <c:f>'ILCD SE scenario'!$P$30:$Q$30</c:f>
              <c:strCache>
                <c:ptCount val="2"/>
                <c:pt idx="0">
                  <c:v>Mineral, fossil &amp; ren resource depletion</c:v>
                </c:pt>
                <c:pt idx="1">
                  <c:v>mPt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'ILCD SE scenario'!$R$14:$U$14</c:f>
              <c:strCache>
                <c:ptCount val="4"/>
                <c:pt idx="0">
                  <c:v>2012 Product 0 (SE avg)</c:v>
                </c:pt>
                <c:pt idx="1">
                  <c:v>5000 hour replacement 1 (SE avg)</c:v>
                </c:pt>
                <c:pt idx="2">
                  <c:v>5000 hour replacement 2 (SE avg)</c:v>
                </c:pt>
                <c:pt idx="3">
                  <c:v>5000 hour replacement 3 (SE avg)</c:v>
                </c:pt>
              </c:strCache>
            </c:strRef>
          </c:cat>
          <c:val>
            <c:numRef>
              <c:f>'ILCD SE scenario'!$R$30:$U$30</c:f>
              <c:numCache>
                <c:formatCode>General</c:formatCode>
                <c:ptCount val="4"/>
                <c:pt idx="0">
                  <c:v>6.5345153147914896</c:v>
                </c:pt>
                <c:pt idx="1">
                  <c:v>7.7547824672874999</c:v>
                </c:pt>
                <c:pt idx="2">
                  <c:v>7.4539893512425701</c:v>
                </c:pt>
                <c:pt idx="3">
                  <c:v>7.4035144944349698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FCA-46B2-A74A-A783C419A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579080"/>
        <c:axId val="531583016"/>
      </c:barChart>
      <c:catAx>
        <c:axId val="53157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83016"/>
        <c:crosses val="autoZero"/>
        <c:auto val="1"/>
        <c:lblAlgn val="ctr"/>
        <c:lblOffset val="100"/>
        <c:noMultiLvlLbl val="0"/>
      </c:catAx>
      <c:valAx>
        <c:axId val="53158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7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'ILCD SE Relative'!$B$8</c:f>
              <c:strCache>
                <c:ptCount val="1"/>
                <c:pt idx="0">
                  <c:v>2012 Product 0 (SE avg)</c:v>
                </c:pt>
              </c:strCache>
            </c:strRef>
          </c:tx>
          <c:invertIfNegative val="0"/>
          <c:cat>
            <c:strRef>
              <c:f>'ILCD SE Relative'!$A$9:$A$24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Relative'!$B$9:$B$24</c:f>
              <c:numCache>
                <c:formatCode>#</c:formatCode>
                <c:ptCount val="16"/>
                <c:pt idx="0" formatCode="0.####">
                  <c:v>87.906826453339576</c:v>
                </c:pt>
                <c:pt idx="1">
                  <c:v>100</c:v>
                </c:pt>
                <c:pt idx="2" formatCode="0.####">
                  <c:v>80.118158508904941</c:v>
                </c:pt>
                <c:pt idx="3" formatCode="0.####">
                  <c:v>91.785446920007885</c:v>
                </c:pt>
                <c:pt idx="4" formatCode="0.####">
                  <c:v>87.383405801165154</c:v>
                </c:pt>
                <c:pt idx="5">
                  <c:v>100</c:v>
                </c:pt>
                <c:pt idx="6">
                  <c:v>100</c:v>
                </c:pt>
                <c:pt idx="7" formatCode="0.####">
                  <c:v>92.073598997007082</c:v>
                </c:pt>
                <c:pt idx="8" formatCode="0.####">
                  <c:v>89.908422836729201</c:v>
                </c:pt>
                <c:pt idx="9" formatCode="0.####">
                  <c:v>95.143697492133555</c:v>
                </c:pt>
                <c:pt idx="10" formatCode="0.####">
                  <c:v>75.88893230491982</c:v>
                </c:pt>
                <c:pt idx="11" formatCode="0.####">
                  <c:v>88.933134362352163</c:v>
                </c:pt>
                <c:pt idx="12" formatCode="0.####">
                  <c:v>81.071204884161347</c:v>
                </c:pt>
                <c:pt idx="13">
                  <c:v>100</c:v>
                </c:pt>
                <c:pt idx="14">
                  <c:v>100</c:v>
                </c:pt>
                <c:pt idx="15" formatCode="0.####">
                  <c:v>84.264327753311804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0-409B-ACC8-2C7EC997D84E}"/>
            </c:ext>
          </c:extLst>
        </c:ser>
        <c:ser>
          <c:idx val="1"/>
          <c:order val="1"/>
          <c:tx>
            <c:strRef>
              <c:f>'ILCD SE Relative'!$D$8</c:f>
              <c:strCache>
                <c:ptCount val="1"/>
                <c:pt idx="0">
                  <c:v>5000 hour replacement 1 (SE avg)</c:v>
                </c:pt>
              </c:strCache>
            </c:strRef>
          </c:tx>
          <c:invertIfNegative val="0"/>
          <c:cat>
            <c:strRef>
              <c:f>'ILCD SE Relative'!$A$9:$A$24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Relative'!$D$9:$D$24</c:f>
              <c:numCache>
                <c:formatCode>0.###</c:formatCode>
                <c:ptCount val="16"/>
                <c:pt idx="0" formatCode="#">
                  <c:v>100</c:v>
                </c:pt>
                <c:pt idx="1">
                  <c:v>78.316069763073656</c:v>
                </c:pt>
                <c:pt idx="2" formatCode="#">
                  <c:v>100</c:v>
                </c:pt>
                <c:pt idx="3" formatCode="#">
                  <c:v>100</c:v>
                </c:pt>
                <c:pt idx="4" formatCode="#">
                  <c:v>100</c:v>
                </c:pt>
                <c:pt idx="5">
                  <c:v>75.18405788501407</c:v>
                </c:pt>
                <c:pt idx="6">
                  <c:v>75.145013080158179</c:v>
                </c:pt>
                <c:pt idx="7" formatCode="#">
                  <c:v>100</c:v>
                </c:pt>
                <c:pt idx="8" formatCode="#">
                  <c:v>100</c:v>
                </c:pt>
                <c:pt idx="9" formatCode="0.####">
                  <c:v>99.598129973580399</c:v>
                </c:pt>
                <c:pt idx="10" formatCode="#">
                  <c:v>100</c:v>
                </c:pt>
                <c:pt idx="11" formatCode="#">
                  <c:v>100</c:v>
                </c:pt>
                <c:pt idx="12" formatCode="#">
                  <c:v>100</c:v>
                </c:pt>
                <c:pt idx="13" formatCode="0.####">
                  <c:v>83.990205457733197</c:v>
                </c:pt>
                <c:pt idx="14" formatCode="0.####">
                  <c:v>59.358976544938798</c:v>
                </c:pt>
                <c:pt idx="15" formatCode="#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0-409B-ACC8-2C7EC997D84E}"/>
            </c:ext>
          </c:extLst>
        </c:ser>
        <c:ser>
          <c:idx val="2"/>
          <c:order val="2"/>
          <c:tx>
            <c:strRef>
              <c:f>'ILCD SE Relative'!$F$8</c:f>
              <c:strCache>
                <c:ptCount val="1"/>
                <c:pt idx="0">
                  <c:v>5000 hour replacement 2 (SE avg)</c:v>
                </c:pt>
              </c:strCache>
            </c:strRef>
          </c:tx>
          <c:invertIfNegative val="0"/>
          <c:cat>
            <c:strRef>
              <c:f>'ILCD SE Relative'!$A$9:$A$24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Relative'!$F$9:$F$24</c:f>
              <c:numCache>
                <c:formatCode>0.####</c:formatCode>
                <c:ptCount val="16"/>
                <c:pt idx="0">
                  <c:v>94.025771850249768</c:v>
                </c:pt>
                <c:pt idx="1">
                  <c:v>83.467795794148685</c:v>
                </c:pt>
                <c:pt idx="2">
                  <c:v>90.832531886579716</c:v>
                </c:pt>
                <c:pt idx="3">
                  <c:v>95.380119679834877</c:v>
                </c:pt>
                <c:pt idx="4">
                  <c:v>93.605371801579608</c:v>
                </c:pt>
                <c:pt idx="5">
                  <c:v>81.274971670292643</c:v>
                </c:pt>
                <c:pt idx="6">
                  <c:v>81.243440998702766</c:v>
                </c:pt>
                <c:pt idx="7">
                  <c:v>95.888822212782003</c:v>
                </c:pt>
                <c:pt idx="8">
                  <c:v>94.861238211958351</c:v>
                </c:pt>
                <c:pt idx="9">
                  <c:v>96.073129518142153</c:v>
                </c:pt>
                <c:pt idx="10">
                  <c:v>89.563171376153576</c:v>
                </c:pt>
                <c:pt idx="11">
                  <c:v>95.466468418033116</c:v>
                </c:pt>
                <c:pt idx="12">
                  <c:v>91.715335045446366</c:v>
                </c:pt>
                <c:pt idx="13">
                  <c:v>87.362138498080583</c:v>
                </c:pt>
                <c:pt idx="14">
                  <c:v>70.012165469087535</c:v>
                </c:pt>
                <c:pt idx="15">
                  <c:v>96.121192086125035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70-409B-ACC8-2C7EC997D84E}"/>
            </c:ext>
          </c:extLst>
        </c:ser>
        <c:ser>
          <c:idx val="3"/>
          <c:order val="3"/>
          <c:tx>
            <c:strRef>
              <c:f>'ILCD SE Relative'!$H$8</c:f>
              <c:strCache>
                <c:ptCount val="1"/>
                <c:pt idx="0">
                  <c:v>5000 hour replacement 3 (SE avg)</c:v>
                </c:pt>
              </c:strCache>
            </c:strRef>
          </c:tx>
          <c:invertIfNegative val="0"/>
          <c:cat>
            <c:strRef>
              <c:f>'ILCD SE Relative'!$A$9:$A$24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Relative'!$H$9:$H$24</c:f>
              <c:numCache>
                <c:formatCode>0.####</c:formatCode>
                <c:ptCount val="16"/>
                <c:pt idx="0">
                  <c:v>95.993474460488713</c:v>
                </c:pt>
                <c:pt idx="1">
                  <c:v>92.270423087720516</c:v>
                </c:pt>
                <c:pt idx="2">
                  <c:v>95.270533058860636</c:v>
                </c:pt>
                <c:pt idx="3">
                  <c:v>99.47388210665784</c:v>
                </c:pt>
                <c:pt idx="4">
                  <c:v>95.545771911228002</c:v>
                </c:pt>
                <c:pt idx="5">
                  <c:v>90.739176691099061</c:v>
                </c:pt>
                <c:pt idx="6">
                  <c:v>90.728674339619161</c:v>
                </c:pt>
                <c:pt idx="7">
                  <c:v>98.873421053352601</c:v>
                </c:pt>
                <c:pt idx="8">
                  <c:v>97.331566172140725</c:v>
                </c:pt>
                <c:pt idx="9" formatCode="#">
                  <c:v>100</c:v>
                </c:pt>
                <c:pt idx="10">
                  <c:v>93.054266624415689</c:v>
                </c:pt>
                <c:pt idx="11">
                  <c:v>96.31284846441369</c:v>
                </c:pt>
                <c:pt idx="12">
                  <c:v>95.22899182904267</c:v>
                </c:pt>
                <c:pt idx="13">
                  <c:v>95.057713746596789</c:v>
                </c:pt>
                <c:pt idx="14">
                  <c:v>82.247218007186589</c:v>
                </c:pt>
                <c:pt idx="15">
                  <c:v>95.470305268596448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70-409B-ACC8-2C7EC997D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625072"/>
        <c:axId val="575626056"/>
      </c:barChart>
      <c:catAx>
        <c:axId val="57562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5626056"/>
        <c:crosses val="autoZero"/>
        <c:auto val="1"/>
        <c:lblAlgn val="ctr"/>
        <c:lblOffset val="100"/>
        <c:noMultiLvlLbl val="0"/>
      </c:catAx>
      <c:valAx>
        <c:axId val="575626056"/>
        <c:scaling>
          <c:orientation val="minMax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57562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'ILCD SE Relative'!$B$29</c:f>
              <c:strCache>
                <c:ptCount val="1"/>
                <c:pt idx="0">
                  <c:v>Replacement 1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'ILCD SE Relative'!$A$30:$A$45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Relative'!$B$30:$B$45</c:f>
              <c:numCache>
                <c:formatCode>0</c:formatCode>
                <c:ptCount val="16"/>
                <c:pt idx="0">
                  <c:v>12.093173546660424</c:v>
                </c:pt>
                <c:pt idx="1">
                  <c:v>-21.683930236926344</c:v>
                </c:pt>
                <c:pt idx="2">
                  <c:v>19.881841491095059</c:v>
                </c:pt>
                <c:pt idx="3">
                  <c:v>8.2145530799921147</c:v>
                </c:pt>
                <c:pt idx="4">
                  <c:v>12.616594198834846</c:v>
                </c:pt>
                <c:pt idx="5">
                  <c:v>-24.81594211498593</c:v>
                </c:pt>
                <c:pt idx="6">
                  <c:v>-24.854986919841821</c:v>
                </c:pt>
                <c:pt idx="7">
                  <c:v>7.9264010029929182</c:v>
                </c:pt>
                <c:pt idx="8">
                  <c:v>10.091577163270799</c:v>
                </c:pt>
                <c:pt idx="9">
                  <c:v>4.4544324814468439</c:v>
                </c:pt>
                <c:pt idx="10">
                  <c:v>24.11106769508018</c:v>
                </c:pt>
                <c:pt idx="11">
                  <c:v>11.066865637647837</c:v>
                </c:pt>
                <c:pt idx="12">
                  <c:v>18.928795115838653</c:v>
                </c:pt>
                <c:pt idx="13">
                  <c:v>-16.009794542266803</c:v>
                </c:pt>
                <c:pt idx="14">
                  <c:v>-40.641023455061202</c:v>
                </c:pt>
                <c:pt idx="15">
                  <c:v>15.735672246688196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E-43FC-94E5-7A0710850EA4}"/>
            </c:ext>
          </c:extLst>
        </c:ser>
        <c:ser>
          <c:idx val="1"/>
          <c:order val="1"/>
          <c:tx>
            <c:strRef>
              <c:f>'ILCD SE Relative'!$C$29</c:f>
              <c:strCache>
                <c:ptCount val="1"/>
                <c:pt idx="0">
                  <c:v>Replacement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'ILCD SE Relative'!$A$30:$A$45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Relative'!$C$30:$C$45</c:f>
              <c:numCache>
                <c:formatCode>0</c:formatCode>
                <c:ptCount val="16"/>
                <c:pt idx="0">
                  <c:v>6.1189453969101919</c:v>
                </c:pt>
                <c:pt idx="1">
                  <c:v>-16.532204205851315</c:v>
                </c:pt>
                <c:pt idx="2">
                  <c:v>10.714373377674775</c:v>
                </c:pt>
                <c:pt idx="3">
                  <c:v>3.5946727598269916</c:v>
                </c:pt>
                <c:pt idx="4">
                  <c:v>6.2219660004144544</c:v>
                </c:pt>
                <c:pt idx="5">
                  <c:v>-18.725028329707357</c:v>
                </c:pt>
                <c:pt idx="6">
                  <c:v>-18.756559001297234</c:v>
                </c:pt>
                <c:pt idx="7">
                  <c:v>3.8152232157749211</c:v>
                </c:pt>
                <c:pt idx="8">
                  <c:v>4.9528153752291502</c:v>
                </c:pt>
                <c:pt idx="9">
                  <c:v>0.9294320260085982</c:v>
                </c:pt>
                <c:pt idx="10">
                  <c:v>13.674239071233757</c:v>
                </c:pt>
                <c:pt idx="11">
                  <c:v>6.5333340556809532</c:v>
                </c:pt>
                <c:pt idx="12">
                  <c:v>10.64413016128502</c:v>
                </c:pt>
                <c:pt idx="13">
                  <c:v>-12.637861501919417</c:v>
                </c:pt>
                <c:pt idx="14">
                  <c:v>-29.987834530912465</c:v>
                </c:pt>
                <c:pt idx="15">
                  <c:v>11.856864332813231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FE-43FC-94E5-7A0710850EA4}"/>
            </c:ext>
          </c:extLst>
        </c:ser>
        <c:ser>
          <c:idx val="2"/>
          <c:order val="2"/>
          <c:tx>
            <c:strRef>
              <c:f>'ILCD SE Relative'!$D$29</c:f>
              <c:strCache>
                <c:ptCount val="1"/>
                <c:pt idx="0">
                  <c:v>Replacement 3</c:v>
                </c:pt>
              </c:strCache>
            </c:strRef>
          </c:tx>
          <c:spPr>
            <a:pattFill prst="pct60">
              <a:fgClr>
                <a:schemeClr val="accent6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'ILCD SE Relative'!$A$30:$A$45</c:f>
              <c:strCache>
                <c:ptCount val="16"/>
                <c:pt idx="0">
                  <c:v>Climate change</c:v>
                </c:pt>
                <c:pt idx="1">
                  <c:v>Ozone depletion</c:v>
                </c:pt>
                <c:pt idx="2">
                  <c:v>Human toxicity, non-cancer effects</c:v>
                </c:pt>
                <c:pt idx="3">
                  <c:v>Human toxicity, cancer effects</c:v>
                </c:pt>
                <c:pt idx="4">
                  <c:v>Particulate matter</c:v>
                </c:pt>
                <c:pt idx="5">
                  <c:v>Ionizing radiation HH</c:v>
                </c:pt>
                <c:pt idx="6">
                  <c:v>Ionizing radiation E (interim)</c:v>
                </c:pt>
                <c:pt idx="7">
                  <c:v>Photochemical ozone formation</c:v>
                </c:pt>
                <c:pt idx="8">
                  <c:v>Acidification</c:v>
                </c:pt>
                <c:pt idx="9">
                  <c:v>Terrestrial eutrophication</c:v>
                </c:pt>
                <c:pt idx="10">
                  <c:v>Freshwater eutrophication</c:v>
                </c:pt>
                <c:pt idx="11">
                  <c:v>Marine eutrophication</c:v>
                </c:pt>
                <c:pt idx="12">
                  <c:v>Freshwater ecotoxicity</c:v>
                </c:pt>
                <c:pt idx="13">
                  <c:v>Land use</c:v>
                </c:pt>
                <c:pt idx="14">
                  <c:v>Water resource depletion</c:v>
                </c:pt>
                <c:pt idx="15">
                  <c:v>Mineral, fossil &amp; ren resource depletion</c:v>
                </c:pt>
              </c:strCache>
            </c:strRef>
          </c:cat>
          <c:val>
            <c:numRef>
              <c:f>'ILCD SE Relative'!$D$30:$D$45</c:f>
              <c:numCache>
                <c:formatCode>0</c:formatCode>
                <c:ptCount val="16"/>
                <c:pt idx="0">
                  <c:v>8.0866480071491367</c:v>
                </c:pt>
                <c:pt idx="1">
                  <c:v>-7.7295769122794837</c:v>
                </c:pt>
                <c:pt idx="2">
                  <c:v>15.152374549955695</c:v>
                </c:pt>
                <c:pt idx="3">
                  <c:v>7.6884351866499543</c:v>
                </c:pt>
                <c:pt idx="4">
                  <c:v>8.1623661100628482</c:v>
                </c:pt>
                <c:pt idx="5">
                  <c:v>-9.2608233089009389</c:v>
                </c:pt>
                <c:pt idx="6">
                  <c:v>-9.2713256603808389</c:v>
                </c:pt>
                <c:pt idx="7">
                  <c:v>6.7998220563455192</c:v>
                </c:pt>
                <c:pt idx="8">
                  <c:v>7.4231433354115239</c:v>
                </c:pt>
                <c:pt idx="9">
                  <c:v>4.8563025078664452</c:v>
                </c:pt>
                <c:pt idx="10">
                  <c:v>17.165334319495869</c:v>
                </c:pt>
                <c:pt idx="11">
                  <c:v>7.3797141020615271</c:v>
                </c:pt>
                <c:pt idx="12">
                  <c:v>14.157786944881323</c:v>
                </c:pt>
                <c:pt idx="13">
                  <c:v>-4.9422862534032106</c:v>
                </c:pt>
                <c:pt idx="14">
                  <c:v>-17.752781992813411</c:v>
                </c:pt>
                <c:pt idx="15">
                  <c:v>11.205977515284644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FE-43FC-94E5-7A0710850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7154792"/>
        <c:axId val="687155120"/>
      </c:barChart>
      <c:catAx>
        <c:axId val="68715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155120"/>
        <c:crosses val="autoZero"/>
        <c:auto val="1"/>
        <c:lblAlgn val="ctr"/>
        <c:lblOffset val="100"/>
        <c:noMultiLvlLbl val="0"/>
      </c:catAx>
      <c:valAx>
        <c:axId val="68715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15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'Improving product LD(EU)'!$L$27</c:f>
              <c:strCache>
                <c:ptCount val="1"/>
                <c:pt idx="0">
                  <c:v>Replacement 1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'Improving product LD(EU)'!$K$28:$K$45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'Improving product LD(EU)'!$L$28:$L$45</c:f>
              <c:numCache>
                <c:formatCode>0</c:formatCode>
                <c:ptCount val="18"/>
                <c:pt idx="0">
                  <c:v>97.122113063146642</c:v>
                </c:pt>
                <c:pt idx="1">
                  <c:v>94.387369899096129</c:v>
                </c:pt>
                <c:pt idx="2">
                  <c:v>98.110046867977843</c:v>
                </c:pt>
                <c:pt idx="3">
                  <c:v>100.0337832434266</c:v>
                </c:pt>
                <c:pt idx="4">
                  <c:v>102.89452618931972</c:v>
                </c:pt>
                <c:pt idx="5">
                  <c:v>106.57386461822632</c:v>
                </c:pt>
                <c:pt idx="6">
                  <c:v>99.780378767857229</c:v>
                </c:pt>
                <c:pt idx="7">
                  <c:v>100.14551740902985</c:v>
                </c:pt>
                <c:pt idx="8">
                  <c:v>101.7329431895956</c:v>
                </c:pt>
                <c:pt idx="9">
                  <c:v>103.44076196475767</c:v>
                </c:pt>
                <c:pt idx="10">
                  <c:v>103.0876630104983</c:v>
                </c:pt>
                <c:pt idx="11">
                  <c:v>92.532628689004525</c:v>
                </c:pt>
                <c:pt idx="12">
                  <c:v>93.697639388848017</c:v>
                </c:pt>
                <c:pt idx="13">
                  <c:v>103.58998956252292</c:v>
                </c:pt>
                <c:pt idx="14">
                  <c:v>97.541811295386452</c:v>
                </c:pt>
                <c:pt idx="15">
                  <c:v>93.782123554897638</c:v>
                </c:pt>
                <c:pt idx="16">
                  <c:v>111.70510651206301</c:v>
                </c:pt>
                <c:pt idx="17">
                  <c:v>96.38700519328772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3-483D-857E-2156F829EE15}"/>
            </c:ext>
          </c:extLst>
        </c:ser>
        <c:ser>
          <c:idx val="1"/>
          <c:order val="1"/>
          <c:tx>
            <c:strRef>
              <c:f>'Improving product LD(EU)'!$M$27</c:f>
              <c:strCache>
                <c:ptCount val="1"/>
                <c:pt idx="0">
                  <c:v>Replacement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'Improving product LD(EU)'!$K$28:$K$45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'Improving product LD(EU)'!$M$28:$M$45</c:f>
              <c:numCache>
                <c:formatCode>0</c:formatCode>
                <c:ptCount val="18"/>
                <c:pt idx="0">
                  <c:v>101.37347559001761</c:v>
                </c:pt>
                <c:pt idx="1">
                  <c:v>100.04995482428285</c:v>
                </c:pt>
                <c:pt idx="2">
                  <c:v>101.55283348566429</c:v>
                </c:pt>
                <c:pt idx="3">
                  <c:v>101.69259019025341</c:v>
                </c:pt>
                <c:pt idx="4">
                  <c:v>104.45169648989794</c:v>
                </c:pt>
                <c:pt idx="5">
                  <c:v>103.68805952305748</c:v>
                </c:pt>
                <c:pt idx="6">
                  <c:v>102.35551900848318</c:v>
                </c:pt>
                <c:pt idx="7">
                  <c:v>102.36797827880095</c:v>
                </c:pt>
                <c:pt idx="8">
                  <c:v>135.06287148017941</c:v>
                </c:pt>
                <c:pt idx="9">
                  <c:v>103.02365835991637</c:v>
                </c:pt>
                <c:pt idx="10">
                  <c:v>102.7925914090174</c:v>
                </c:pt>
                <c:pt idx="11">
                  <c:v>99.410206188202238</c:v>
                </c:pt>
                <c:pt idx="12">
                  <c:v>99.937299999432298</c:v>
                </c:pt>
                <c:pt idx="13">
                  <c:v>103.22304296805916</c:v>
                </c:pt>
                <c:pt idx="14">
                  <c:v>101.41704627810753</c:v>
                </c:pt>
                <c:pt idx="15">
                  <c:v>99.952227201936537</c:v>
                </c:pt>
                <c:pt idx="16">
                  <c:v>105.6155451100942</c:v>
                </c:pt>
                <c:pt idx="17">
                  <c:v>101.08395478335372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53-483D-857E-2156F829EE15}"/>
            </c:ext>
          </c:extLst>
        </c:ser>
        <c:ser>
          <c:idx val="2"/>
          <c:order val="2"/>
          <c:tx>
            <c:strRef>
              <c:f>'Improving product LD(EU)'!$N$27</c:f>
              <c:strCache>
                <c:ptCount val="1"/>
                <c:pt idx="0">
                  <c:v>Replacement 3</c:v>
                </c:pt>
              </c:strCache>
            </c:strRef>
          </c:tx>
          <c:spPr>
            <a:pattFill prst="pct60">
              <a:fgClr>
                <a:schemeClr val="accent6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'Improving product LD(EU)'!$K$28:$K$45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'Improving product LD(EU)'!$N$28:$N$45</c:f>
              <c:numCache>
                <c:formatCode>0</c:formatCode>
                <c:ptCount val="18"/>
                <c:pt idx="0">
                  <c:v>110.75287519415859</c:v>
                </c:pt>
                <c:pt idx="1">
                  <c:v>109.98056465112192</c:v>
                </c:pt>
                <c:pt idx="2">
                  <c:v>110.44357419071861</c:v>
                </c:pt>
                <c:pt idx="3">
                  <c:v>110.9542848770449</c:v>
                </c:pt>
                <c:pt idx="4">
                  <c:v>109.10013400170324</c:v>
                </c:pt>
                <c:pt idx="5">
                  <c:v>111.28355142422465</c:v>
                </c:pt>
                <c:pt idx="6">
                  <c:v>110.63163184401046</c:v>
                </c:pt>
                <c:pt idx="7">
                  <c:v>110.52624301378422</c:v>
                </c:pt>
                <c:pt idx="8">
                  <c:v>139.69786408135897</c:v>
                </c:pt>
                <c:pt idx="9">
                  <c:v>111.09245377391389</c:v>
                </c:pt>
                <c:pt idx="10">
                  <c:v>110.93228707957869</c:v>
                </c:pt>
                <c:pt idx="11">
                  <c:v>110.29147516873248</c:v>
                </c:pt>
                <c:pt idx="12">
                  <c:v>110.20461939841819</c:v>
                </c:pt>
                <c:pt idx="13">
                  <c:v>110.86611473264705</c:v>
                </c:pt>
                <c:pt idx="14">
                  <c:v>110.26694026314021</c:v>
                </c:pt>
                <c:pt idx="15">
                  <c:v>110.25038624860163</c:v>
                </c:pt>
                <c:pt idx="16">
                  <c:v>106.40400396540007</c:v>
                </c:pt>
                <c:pt idx="17">
                  <c:v>110.68830258068026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53-483D-857E-2156F829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8074328"/>
        <c:axId val="718074656"/>
      </c:barChart>
      <c:catAx>
        <c:axId val="71807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074656"/>
        <c:crossesAt val="100"/>
        <c:auto val="1"/>
        <c:lblAlgn val="ctr"/>
        <c:lblOffset val="100"/>
        <c:noMultiLvlLbl val="0"/>
      </c:catAx>
      <c:valAx>
        <c:axId val="718074656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% impact (25000h=100%)</a:t>
                </a:r>
                <a:endParaRPr lang="en-GB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888888888888888E-2"/>
              <c:y val="0.11454879552543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07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'Improved product (EU) Scenario'!$B$42</c:f>
              <c:strCache>
                <c:ptCount val="1"/>
                <c:pt idx="0">
                  <c:v>2012 LED lamp, no replacement</c:v>
                </c:pt>
              </c:strCache>
            </c:strRef>
          </c:tx>
          <c:invertIfNegative val="0"/>
          <c:cat>
            <c:strRef>
              <c:f>'Improved product (EU) Scenario'!$A$43:$A$60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'Improved product (EU) Scenario'!$B$43:$B$60</c:f>
              <c:numCache>
                <c:formatCode>0.####</c:formatCode>
                <c:ptCount val="18"/>
                <c:pt idx="0" formatCode="0.###">
                  <c:v>1.5003765133692452E-2</c:v>
                </c:pt>
                <c:pt idx="1">
                  <c:v>9.0700817621204187E-4</c:v>
                </c:pt>
                <c:pt idx="2">
                  <c:v>2.3112625044417686E-2</c:v>
                </c:pt>
                <c:pt idx="3">
                  <c:v>0.4152651124584803</c:v>
                </c:pt>
                <c:pt idx="4" formatCode="0.###">
                  <c:v>6.0834954279094687E-3</c:v>
                </c:pt>
                <c:pt idx="5">
                  <c:v>0.2343807268501861</c:v>
                </c:pt>
                <c:pt idx="6">
                  <c:v>6.8868021762250407E-3</c:v>
                </c:pt>
                <c:pt idx="7">
                  <c:v>1.8575494685429204E-2</c:v>
                </c:pt>
                <c:pt idx="8">
                  <c:v>1.6265571110156516E-3</c:v>
                </c:pt>
                <c:pt idx="9" formatCode="0.###">
                  <c:v>0.38809209337326644</c:v>
                </c:pt>
                <c:pt idx="10">
                  <c:v>0.46341472201917822</c:v>
                </c:pt>
                <c:pt idx="11">
                  <c:v>1.2511452295735524E-2</c:v>
                </c:pt>
                <c:pt idx="12">
                  <c:v>4.8777900957672482E-3</c:v>
                </c:pt>
                <c:pt idx="13" formatCode="0.###">
                  <c:v>3.081056917480441E-3</c:v>
                </c:pt>
                <c:pt idx="14">
                  <c:v>0.11667389444859619</c:v>
                </c:pt>
                <c:pt idx="15" formatCode="0">
                  <c:v>0</c:v>
                </c:pt>
                <c:pt idx="16">
                  <c:v>2.0774164964587508E-2</c:v>
                </c:pt>
                <c:pt idx="17">
                  <c:v>2.8624984142989706E-2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1-4CF2-881A-7600D9BB4359}"/>
            </c:ext>
          </c:extLst>
        </c:ser>
        <c:ser>
          <c:idx val="1"/>
          <c:order val="1"/>
          <c:tx>
            <c:strRef>
              <c:f>'Improved product (EU) Scenario'!$C$42</c:f>
              <c:strCache>
                <c:ptCount val="1"/>
                <c:pt idx="0">
                  <c:v>Replacement 1</c:v>
                </c:pt>
              </c:strCache>
            </c:strRef>
          </c:tx>
          <c:invertIfNegative val="0"/>
          <c:cat>
            <c:strRef>
              <c:f>'Improved product (EU) Scenario'!$A$43:$A$60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'Improved product (EU) Scenario'!$C$43:$C$60</c:f>
              <c:numCache>
                <c:formatCode>0.####</c:formatCode>
                <c:ptCount val="18"/>
                <c:pt idx="0">
                  <c:v>1.2249414847084011E-2</c:v>
                </c:pt>
                <c:pt idx="1">
                  <c:v>7.145514829931765E-4</c:v>
                </c:pt>
                <c:pt idx="2">
                  <c:v>1.9352313166479621E-2</c:v>
                </c:pt>
                <c:pt idx="3">
                  <c:v>0.36551574311437751</c:v>
                </c:pt>
                <c:pt idx="4">
                  <c:v>5.6799071475732666E-3</c:v>
                </c:pt>
                <c:pt idx="5">
                  <c:v>0.23523935527810483</c:v>
                </c:pt>
                <c:pt idx="6">
                  <c:v>5.9394868343370056E-3</c:v>
                </c:pt>
                <c:pt idx="7">
                  <c:v>1.6141300257029249E-2</c:v>
                </c:pt>
                <c:pt idx="8">
                  <c:v>1.5018379385649517E-3</c:v>
                </c:pt>
                <c:pt idx="9" formatCode="0.###">
                  <c:v>0.36509128274673208</c:v>
                </c:pt>
                <c:pt idx="10">
                  <c:v>0.43466103952569557</c:v>
                </c:pt>
                <c:pt idx="11">
                  <c:v>9.4647112879519546E-3</c:v>
                </c:pt>
                <c:pt idx="12">
                  <c:v>3.7814685628020407E-3</c:v>
                </c:pt>
                <c:pt idx="13">
                  <c:v>2.8593022474689886E-3</c:v>
                </c:pt>
                <c:pt idx="14">
                  <c:v>9.7530051038405216E-2</c:v>
                </c:pt>
                <c:pt idx="15" formatCode="0">
                  <c:v>0</c:v>
                </c:pt>
                <c:pt idx="16">
                  <c:v>2.4216566033763789E-2</c:v>
                </c:pt>
                <c:pt idx="17">
                  <c:v>2.3106206583158515E-2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1-4CF2-881A-7600D9BB4359}"/>
            </c:ext>
          </c:extLst>
        </c:ser>
        <c:ser>
          <c:idx val="2"/>
          <c:order val="2"/>
          <c:tx>
            <c:strRef>
              <c:f>'Improved product (EU) Scenario'!$D$42</c:f>
              <c:strCache>
                <c:ptCount val="1"/>
                <c:pt idx="0">
                  <c:v>Replacement 2</c:v>
                </c:pt>
              </c:strCache>
            </c:strRef>
          </c:tx>
          <c:invertIfNegative val="0"/>
          <c:cat>
            <c:strRef>
              <c:f>'Improved product (EU) Scenario'!$A$43:$A$60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'Improved product (EU) Scenario'!$D$43:$D$60</c:f>
              <c:numCache>
                <c:formatCode>0.####</c:formatCode>
                <c:ptCount val="18"/>
                <c:pt idx="0">
                  <c:v>1.2805120725182726E-2</c:v>
                </c:pt>
                <c:pt idx="1">
                  <c:v>7.5900375607808746E-4</c:v>
                </c:pt>
                <c:pt idx="2" formatCode="0.##">
                  <c:v>2.0045247923256463E-2</c:v>
                </c:pt>
                <c:pt idx="3">
                  <c:v>0.37172586425319681</c:v>
                </c:pt>
                <c:pt idx="4">
                  <c:v>5.7659813454604648E-3</c:v>
                </c:pt>
                <c:pt idx="5">
                  <c:v>0.22874875628614597</c:v>
                </c:pt>
                <c:pt idx="6" formatCode="0.###">
                  <c:v>6.0936609348486966E-3</c:v>
                </c:pt>
                <c:pt idx="7">
                  <c:v>1.6500266972339125E-2</c:v>
                </c:pt>
                <c:pt idx="8">
                  <c:v>2.4057942486951523E-3</c:v>
                </c:pt>
                <c:pt idx="9">
                  <c:v>0.3635572548290395</c:v>
                </c:pt>
                <c:pt idx="10">
                  <c:v>0.43333359577105934</c:v>
                </c:pt>
                <c:pt idx="11">
                  <c:v>1.0205017899580553E-2</c:v>
                </c:pt>
                <c:pt idx="12" formatCode="0.###">
                  <c:v>4.0451926498439742E-3</c:v>
                </c:pt>
                <c:pt idx="13">
                  <c:v>2.845971359103612E-3</c:v>
                </c:pt>
                <c:pt idx="14">
                  <c:v>0.10151571573405455</c:v>
                </c:pt>
                <c:pt idx="15" formatCode="0">
                  <c:v>0</c:v>
                </c:pt>
                <c:pt idx="16">
                  <c:v>2.2873371759363915E-2</c:v>
                </c:pt>
                <c:pt idx="17">
                  <c:v>2.4275791443576812E-2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81-4CF2-881A-7600D9BB4359}"/>
            </c:ext>
          </c:extLst>
        </c:ser>
        <c:ser>
          <c:idx val="3"/>
          <c:order val="3"/>
          <c:tx>
            <c:strRef>
              <c:f>'Improved product (EU) Scenario'!$E$42</c:f>
              <c:strCache>
                <c:ptCount val="1"/>
                <c:pt idx="0">
                  <c:v>Replacement 3</c:v>
                </c:pt>
              </c:strCache>
            </c:strRef>
          </c:tx>
          <c:invertIfNegative val="0"/>
          <c:cat>
            <c:strRef>
              <c:f>'Improved product (EU) Scenario'!$A$43:$A$60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'Improved product (EU) Scenario'!$E$43:$E$60</c:f>
              <c:numCache>
                <c:formatCode>0.####</c:formatCode>
                <c:ptCount val="18"/>
                <c:pt idx="0" formatCode="0.###">
                  <c:v>1.4044048554242013E-2</c:v>
                </c:pt>
                <c:pt idx="1">
                  <c:v>8.3729794135843627E-4</c:v>
                </c:pt>
                <c:pt idx="2">
                  <c:v>2.186570409025659E-2</c:v>
                </c:pt>
                <c:pt idx="3">
                  <c:v>0.40669180553574091</c:v>
                </c:pt>
                <c:pt idx="4" formatCode="0.###">
                  <c:v>6.0231656034886553E-3</c:v>
                </c:pt>
                <c:pt idx="5">
                  <c:v>0.24575817284525078</c:v>
                </c:pt>
                <c:pt idx="6">
                  <c:v>6.6037906747346102E-3</c:v>
                </c:pt>
                <c:pt idx="7">
                  <c:v>1.785846077615225E-2</c:v>
                </c:pt>
                <c:pt idx="8">
                  <c:v>2.5085533603248825E-3</c:v>
                </c:pt>
                <c:pt idx="9">
                  <c:v>0.39270485894862062</c:v>
                </c:pt>
                <c:pt idx="10">
                  <c:v>0.4683954244208417</c:v>
                </c:pt>
                <c:pt idx="11">
                  <c:v>1.1377525447371318E-2</c:v>
                </c:pt>
                <c:pt idx="12">
                  <c:v>4.4792660218429328E-3</c:v>
                </c:pt>
                <c:pt idx="13" formatCode="0.###">
                  <c:v>3.0623511543972724E-3</c:v>
                </c:pt>
                <c:pt idx="14">
                  <c:v>0.11067164800924154</c:v>
                </c:pt>
                <c:pt idx="15" formatCode="0">
                  <c:v>0</c:v>
                </c:pt>
                <c:pt idx="16" formatCode="0.###">
                  <c:v>2.3042662528274655E-2</c:v>
                </c:pt>
                <c:pt idx="17">
                  <c:v>2.6688956022982577E-2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81-4CF2-881A-7600D9BB4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368584"/>
        <c:axId val="431369240"/>
      </c:barChart>
      <c:catAx>
        <c:axId val="43136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1369240"/>
        <c:crosses val="autoZero"/>
        <c:auto val="1"/>
        <c:lblAlgn val="ctr"/>
        <c:lblOffset val="100"/>
        <c:noMultiLvlLbl val="0"/>
      </c:catAx>
      <c:valAx>
        <c:axId val="431369240"/>
        <c:scaling>
          <c:orientation val="minMax"/>
        </c:scaling>
        <c:delete val="0"/>
        <c:axPos val="l"/>
        <c:majorGridlines/>
        <c:numFmt formatCode="0.###" sourceLinked="1"/>
        <c:majorTickMark val="out"/>
        <c:minorTickMark val="none"/>
        <c:tickLblPos val="nextTo"/>
        <c:crossAx val="4313685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[2]Data!$B$8</c:f>
              <c:strCache>
                <c:ptCount val="1"/>
                <c:pt idx="0">
                  <c:v>2012 Product 0 (EU avg)- LD</c:v>
                </c:pt>
              </c:strCache>
            </c:strRef>
          </c:tx>
          <c:invertIfNegative val="0"/>
          <c:cat>
            <c:strRef>
              <c:f>[2]Data!$A$9:$A$26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[2]Data!$B$9:$B$26</c:f>
              <c:numCache>
                <c:formatCode>General</c:formatCode>
                <c:ptCount val="18"/>
                <c:pt idx="0">
                  <c:v>89.247124805841409</c:v>
                </c:pt>
                <c:pt idx="1">
                  <c:v>90.019435348878076</c:v>
                </c:pt>
                <c:pt idx="2">
                  <c:v>89.556425809281393</c:v>
                </c:pt>
                <c:pt idx="3">
                  <c:v>89.045715122955102</c:v>
                </c:pt>
                <c:pt idx="4">
                  <c:v>90.899865998296761</c:v>
                </c:pt>
                <c:pt idx="5">
                  <c:v>88.716448575775345</c:v>
                </c:pt>
                <c:pt idx="6">
                  <c:v>89.368368155989543</c:v>
                </c:pt>
                <c:pt idx="7">
                  <c:v>89.473756986215776</c:v>
                </c:pt>
                <c:pt idx="8">
                  <c:v>60.302135918641021</c:v>
                </c:pt>
                <c:pt idx="9">
                  <c:v>88.907546226086112</c:v>
                </c:pt>
                <c:pt idx="10">
                  <c:v>89.067712920421314</c:v>
                </c:pt>
                <c:pt idx="11">
                  <c:v>89.708524831267525</c:v>
                </c:pt>
                <c:pt idx="12">
                  <c:v>89.795380601581812</c:v>
                </c:pt>
                <c:pt idx="13">
                  <c:v>89.133885267352952</c:v>
                </c:pt>
                <c:pt idx="14">
                  <c:v>89.733059736859786</c:v>
                </c:pt>
                <c:pt idx="15">
                  <c:v>89.749613751398371</c:v>
                </c:pt>
                <c:pt idx="16">
                  <c:v>88.294893487936989</c:v>
                </c:pt>
                <c:pt idx="17">
                  <c:v>89.311697419319742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5-4E21-9E4B-9B07C6A2E509}"/>
            </c:ext>
          </c:extLst>
        </c:ser>
        <c:ser>
          <c:idx val="1"/>
          <c:order val="1"/>
          <c:tx>
            <c:strRef>
              <c:f>[2]Data!$C$8</c:f>
              <c:strCache>
                <c:ptCount val="1"/>
                <c:pt idx="0">
                  <c:v>5000 hour replacement 1 (EU avg) - LD</c:v>
                </c:pt>
              </c:strCache>
            </c:strRef>
          </c:tx>
          <c:invertIfNegative val="0"/>
          <c:cat>
            <c:strRef>
              <c:f>[2]Data!$A$9:$A$26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[2]Data!$C$9:$C$26</c:f>
              <c:numCache>
                <c:formatCode>General</c:formatCode>
                <c:ptCount val="18"/>
                <c:pt idx="0">
                  <c:v>86.369237868988051</c:v>
                </c:pt>
                <c:pt idx="1">
                  <c:v>84.406805247974205</c:v>
                </c:pt>
                <c:pt idx="2">
                  <c:v>87.666472677259236</c:v>
                </c:pt>
                <c:pt idx="3">
                  <c:v>89.079498366381699</c:v>
                </c:pt>
                <c:pt idx="4">
                  <c:v>93.794392187616481</c:v>
                </c:pt>
                <c:pt idx="5">
                  <c:v>95.290313194001669</c:v>
                </c:pt>
                <c:pt idx="6">
                  <c:v>89.148746923846772</c:v>
                </c:pt>
                <c:pt idx="7">
                  <c:v>89.619274395245625</c:v>
                </c:pt>
                <c:pt idx="8">
                  <c:v>62.035079108236616</c:v>
                </c:pt>
                <c:pt idx="9">
                  <c:v>92.348308190843781</c:v>
                </c:pt>
                <c:pt idx="10">
                  <c:v>92.155375930919618</c:v>
                </c:pt>
                <c:pt idx="11">
                  <c:v>82.24115352027205</c:v>
                </c:pt>
                <c:pt idx="12">
                  <c:v>83.493019990429829</c:v>
                </c:pt>
                <c:pt idx="13">
                  <c:v>92.723874829875868</c:v>
                </c:pt>
                <c:pt idx="14">
                  <c:v>87.274871032246239</c:v>
                </c:pt>
                <c:pt idx="15">
                  <c:v>83.531737306296009</c:v>
                </c:pt>
                <c:pt idx="16">
                  <c:v>100</c:v>
                </c:pt>
                <c:pt idx="17">
                  <c:v>85.698702612607462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5-4E21-9E4B-9B07C6A2E509}"/>
            </c:ext>
          </c:extLst>
        </c:ser>
        <c:ser>
          <c:idx val="2"/>
          <c:order val="2"/>
          <c:tx>
            <c:strRef>
              <c:f>[2]Data!$D$8</c:f>
              <c:strCache>
                <c:ptCount val="1"/>
                <c:pt idx="0">
                  <c:v>5000 hour replacement 2 (EU avg) - LD</c:v>
                </c:pt>
              </c:strCache>
            </c:strRef>
          </c:tx>
          <c:invertIfNegative val="0"/>
          <c:cat>
            <c:strRef>
              <c:f>[2]Data!$A$9:$A$26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[2]Data!$D$9:$D$26</c:f>
              <c:numCache>
                <c:formatCode>General</c:formatCode>
                <c:ptCount val="18"/>
                <c:pt idx="0">
                  <c:v>90.620600395859014</c:v>
                </c:pt>
                <c:pt idx="1">
                  <c:v>90.069390173160926</c:v>
                </c:pt>
                <c:pt idx="2">
                  <c:v>91.109259294945687</c:v>
                </c:pt>
                <c:pt idx="3">
                  <c:v>90.738305313208514</c:v>
                </c:pt>
                <c:pt idx="4">
                  <c:v>95.351562488194702</c:v>
                </c:pt>
                <c:pt idx="5">
                  <c:v>92.404508098832821</c:v>
                </c:pt>
                <c:pt idx="6">
                  <c:v>91.723887164472728</c:v>
                </c:pt>
                <c:pt idx="7">
                  <c:v>91.841735265016723</c:v>
                </c:pt>
                <c:pt idx="8">
                  <c:v>95.365007398820438</c:v>
                </c:pt>
                <c:pt idx="9">
                  <c:v>91.93120458600248</c:v>
                </c:pt>
                <c:pt idx="10">
                  <c:v>91.860304329438719</c:v>
                </c:pt>
                <c:pt idx="11">
                  <c:v>89.118731019469763</c:v>
                </c:pt>
                <c:pt idx="12">
                  <c:v>89.73268060101411</c:v>
                </c:pt>
                <c:pt idx="13">
                  <c:v>92.356928235412113</c:v>
                </c:pt>
                <c:pt idx="14">
                  <c:v>91.150106014967321</c:v>
                </c:pt>
                <c:pt idx="15">
                  <c:v>89.701840953334909</c:v>
                </c:pt>
                <c:pt idx="16">
                  <c:v>93.910438598031192</c:v>
                </c:pt>
                <c:pt idx="17">
                  <c:v>90.39565220267346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A5-4E21-9E4B-9B07C6A2E509}"/>
            </c:ext>
          </c:extLst>
        </c:ser>
        <c:ser>
          <c:idx val="3"/>
          <c:order val="3"/>
          <c:tx>
            <c:strRef>
              <c:f>[2]Data!$E$8</c:f>
              <c:strCache>
                <c:ptCount val="1"/>
                <c:pt idx="0">
                  <c:v>5000 hour replacement 3 (EU avg) - LD</c:v>
                </c:pt>
              </c:strCache>
            </c:strRef>
          </c:tx>
          <c:invertIfNegative val="0"/>
          <c:cat>
            <c:strRef>
              <c:f>[2]Data!$A$9:$A$26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[2]Data!$E$9:$E$26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94.698897453337054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5-4E21-9E4B-9B07C6A2E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168016"/>
        <c:axId val="587172608"/>
      </c:barChart>
      <c:catAx>
        <c:axId val="58716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7172608"/>
        <c:crosses val="autoZero"/>
        <c:auto val="1"/>
        <c:lblAlgn val="ctr"/>
        <c:lblOffset val="100"/>
        <c:noMultiLvlLbl val="0"/>
      </c:catAx>
      <c:valAx>
        <c:axId val="587172608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7168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'IP scenario normalised LD (EU)'!$B$8</c:f>
              <c:strCache>
                <c:ptCount val="1"/>
                <c:pt idx="0">
                  <c:v>2012 Product 0 (EU avg)- LD</c:v>
                </c:pt>
              </c:strCache>
            </c:strRef>
          </c:tx>
          <c:invertIfNegative val="0"/>
          <c:cat>
            <c:strRef>
              <c:f>'IP scenario normalised LD (EU)'!$A$9:$A$26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scenario normalised LD (EU)'!$B$9:$B$26</c:f>
              <c:numCache>
                <c:formatCode>0.####</c:formatCode>
                <c:ptCount val="18"/>
                <c:pt idx="0">
                  <c:v>1.5325284806876529E-2</c:v>
                </c:pt>
                <c:pt idx="1">
                  <c:v>9.2264201799786491E-4</c:v>
                </c:pt>
                <c:pt idx="2">
                  <c:v>2.3838690072569269E-2</c:v>
                </c:pt>
                <c:pt idx="3" formatCode="0.###">
                  <c:v>0.43702988826886802</c:v>
                </c:pt>
                <c:pt idx="4">
                  <c:v>6.5379860007144111E-3</c:v>
                </c:pt>
                <c:pt idx="5">
                  <c:v>0.25827419181652705</c:v>
                </c:pt>
                <c:pt idx="6">
                  <c:v>7.1611277396672196E-3</c:v>
                </c:pt>
                <c:pt idx="7">
                  <c:v>1.936435237527347E-2</c:v>
                </c:pt>
                <c:pt idx="8">
                  <c:v>1.7379902231399423E-3</c:v>
                </c:pt>
                <c:pt idx="9">
                  <c:v>0.41751889248307661</c:v>
                </c:pt>
                <c:pt idx="10">
                  <c:v>0.49875819670263116</c:v>
                </c:pt>
                <c:pt idx="11">
                  <c:v>1.2566466375599836E-2</c:v>
                </c:pt>
                <c:pt idx="12">
                  <c:v>4.9351847895304059E-3</c:v>
                </c:pt>
                <c:pt idx="13">
                  <c:v>3.2804615948792883E-3</c:v>
                </c:pt>
                <c:pt idx="14">
                  <c:v>0.12068695165111924</c:v>
                </c:pt>
                <c:pt idx="15" formatCode="0">
                  <c:v>0</c:v>
                </c:pt>
                <c:pt idx="16">
                  <c:v>2.464525304006349E-2</c:v>
                </c:pt>
                <c:pt idx="17">
                  <c:v>2.9172305997071001E-2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5-4D25-AD32-BC715974AFA2}"/>
            </c:ext>
          </c:extLst>
        </c:ser>
        <c:ser>
          <c:idx val="1"/>
          <c:order val="1"/>
          <c:tx>
            <c:strRef>
              <c:f>'IP scenario normalised LD (EU)'!$C$8</c:f>
              <c:strCache>
                <c:ptCount val="1"/>
                <c:pt idx="0">
                  <c:v>5000 hour replacement 1 (EU avg) - LD</c:v>
                </c:pt>
              </c:strCache>
            </c:strRef>
          </c:tx>
          <c:invertIfNegative val="0"/>
          <c:cat>
            <c:strRef>
              <c:f>'IP scenario normalised LD (EU)'!$A$9:$A$26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scenario normalised LD (EU)'!$C$9:$C$26</c:f>
              <c:numCache>
                <c:formatCode>0.####</c:formatCode>
                <c:ptCount val="18"/>
                <c:pt idx="0">
                  <c:v>1.4831101525956016E-2</c:v>
                </c:pt>
                <c:pt idx="1">
                  <c:v>8.6511612547805533E-4</c:v>
                </c:pt>
                <c:pt idx="2">
                  <c:v>2.3335610516202272E-2</c:v>
                </c:pt>
                <c:pt idx="3">
                  <c:v>0.43719569396855607</c:v>
                </c:pt>
                <c:pt idx="4">
                  <c:v>6.7461752152598734E-3</c:v>
                </c:pt>
                <c:pt idx="5">
                  <c:v>0.27741223891647793</c:v>
                </c:pt>
                <c:pt idx="6">
                  <c:v>7.1435293910549506E-3</c:v>
                </c:pt>
                <c:pt idx="7">
                  <c:v>1.9395845971609441E-2</c:v>
                </c:pt>
                <c:pt idx="8">
                  <c:v>1.7879360214917239E-3</c:v>
                </c:pt>
                <c:pt idx="9">
                  <c:v>0.43367706111783566</c:v>
                </c:pt>
                <c:pt idx="10" formatCode="0.###">
                  <c:v>0.51604838171633838</c:v>
                </c:pt>
                <c:pt idx="11">
                  <c:v>1.1520428993196734E-2</c:v>
                </c:pt>
                <c:pt idx="12">
                  <c:v>4.5888048976259772E-3</c:v>
                </c:pt>
                <c:pt idx="13">
                  <c:v>3.4125866879406936E-3</c:v>
                </c:pt>
                <c:pt idx="14">
                  <c:v>0.11738079779641912</c:v>
                </c:pt>
                <c:pt idx="15" formatCode="0">
                  <c:v>0</c:v>
                </c:pt>
                <c:pt idx="16">
                  <c:v>2.7912433059824229E-2</c:v>
                </c:pt>
                <c:pt idx="17">
                  <c:v>2.7992176259166814E-2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5-4D25-AD32-BC715974AFA2}"/>
            </c:ext>
          </c:extLst>
        </c:ser>
        <c:ser>
          <c:idx val="2"/>
          <c:order val="2"/>
          <c:tx>
            <c:strRef>
              <c:f>'IP scenario normalised LD (EU)'!$D$8</c:f>
              <c:strCache>
                <c:ptCount val="1"/>
                <c:pt idx="0">
                  <c:v>5000 hour replacement 2 (EU avg) - LD</c:v>
                </c:pt>
              </c:strCache>
            </c:strRef>
          </c:tx>
          <c:invertIfNegative val="0"/>
          <c:cat>
            <c:strRef>
              <c:f>'IP scenario normalised LD (EU)'!$A$9:$A$26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scenario normalised LD (EU)'!$D$9:$D$26</c:f>
              <c:numCache>
                <c:formatCode>0.####</c:formatCode>
                <c:ptCount val="18"/>
                <c:pt idx="0">
                  <c:v>1.5561134473049087E-2</c:v>
                </c:pt>
                <c:pt idx="1">
                  <c:v>9.2315402320770153E-4</c:v>
                </c:pt>
                <c:pt idx="2">
                  <c:v>2.4252033010996731E-2</c:v>
                </c:pt>
                <c:pt idx="3">
                  <c:v>0.44533699772056967</c:v>
                </c:pt>
                <c:pt idx="4">
                  <c:v>6.8581749142044238E-3</c:v>
                </c:pt>
                <c:pt idx="5" formatCode="0.###">
                  <c:v>0.26901098987348715</c:v>
                </c:pt>
                <c:pt idx="6">
                  <c:v>7.3498765426386987E-3</c:v>
                </c:pt>
                <c:pt idx="7">
                  <c:v>1.9876841929218934E-2</c:v>
                </c:pt>
                <c:pt idx="8">
                  <c:v>2.7485502455905962E-3</c:v>
                </c:pt>
                <c:pt idx="9">
                  <c:v>0.43171830010669143</c:v>
                </c:pt>
                <c:pt idx="10">
                  <c:v>0.51439605030434477</c:v>
                </c:pt>
                <c:pt idx="11">
                  <c:v>1.2483847425857515E-2</c:v>
                </c:pt>
                <c:pt idx="12">
                  <c:v>4.9317387760825877E-3</c:v>
                </c:pt>
                <c:pt idx="13">
                  <c:v>3.3990816757121906E-3</c:v>
                </c:pt>
                <c:pt idx="14">
                  <c:v>0.12259281551171727</c:v>
                </c:pt>
                <c:pt idx="15" formatCode="0">
                  <c:v>0</c:v>
                </c:pt>
                <c:pt idx="16">
                  <c:v>2.6212688309862751E-2</c:v>
                </c:pt>
                <c:pt idx="17">
                  <c:v>2.9526363321483111E-2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5-4D25-AD32-BC715974AFA2}"/>
            </c:ext>
          </c:extLst>
        </c:ser>
        <c:ser>
          <c:idx val="3"/>
          <c:order val="3"/>
          <c:tx>
            <c:strRef>
              <c:f>'IP scenario normalised LD (EU)'!$E$8</c:f>
              <c:strCache>
                <c:ptCount val="1"/>
                <c:pt idx="0">
                  <c:v>5000 hour replacement 3 (EU avg) - LD</c:v>
                </c:pt>
              </c:strCache>
            </c:strRef>
          </c:tx>
          <c:invertIfNegative val="0"/>
          <c:cat>
            <c:strRef>
              <c:f>'IP scenario normalised LD (EU)'!$A$9:$A$26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scenario normalised LD (EU)'!$E$9:$E$26</c:f>
              <c:numCache>
                <c:formatCode>0.###</c:formatCode>
                <c:ptCount val="18"/>
                <c:pt idx="0" formatCode="0.####">
                  <c:v>1.717174064735073E-2</c:v>
                </c:pt>
                <c:pt idx="1">
                  <c:v>1.0249364644669098E-3</c:v>
                </c:pt>
                <c:pt idx="2" formatCode="0.####">
                  <c:v>2.6618626030627937E-2</c:v>
                </c:pt>
                <c:pt idx="3" formatCode="0.####">
                  <c:v>0.49079272109321992</c:v>
                </c:pt>
                <c:pt idx="4" formatCode="0.####">
                  <c:v>7.1925144541323338E-3</c:v>
                </c:pt>
                <c:pt idx="5" formatCode="0.####">
                  <c:v>0.29112323133170276</c:v>
                </c:pt>
                <c:pt idx="6">
                  <c:v>8.0130452053993814E-3</c:v>
                </c:pt>
                <c:pt idx="7" formatCode="0.####">
                  <c:v>2.1642493874775664E-2</c:v>
                </c:pt>
                <c:pt idx="8" formatCode="0.####">
                  <c:v>2.8821370862962808E-3</c:v>
                </c:pt>
                <c:pt idx="9" formatCode="0.####">
                  <c:v>0.46961018519322706</c:v>
                </c:pt>
                <c:pt idx="10" formatCode="0.####">
                  <c:v>0.55997642731463937</c:v>
                </c:pt>
                <c:pt idx="11">
                  <c:v>1.400810725539859E-2</c:v>
                </c:pt>
                <c:pt idx="12" formatCode="0.####">
                  <c:v>5.4960341572887778E-3</c:v>
                </c:pt>
                <c:pt idx="13" formatCode="0.####">
                  <c:v>3.680375409463752E-3</c:v>
                </c:pt>
                <c:pt idx="14" formatCode="0.####">
                  <c:v>0.13449552707221948</c:v>
                </c:pt>
                <c:pt idx="15" formatCode="0">
                  <c:v>0</c:v>
                </c:pt>
                <c:pt idx="16" formatCode="0.####">
                  <c:v>2.6432766360054281E-2</c:v>
                </c:pt>
                <c:pt idx="17" formatCode="0.####">
                  <c:v>3.2663477282383974E-2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D5-4D25-AD32-BC715974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185072"/>
        <c:axId val="587186056"/>
      </c:barChart>
      <c:catAx>
        <c:axId val="58718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7186056"/>
        <c:crosses val="autoZero"/>
        <c:auto val="1"/>
        <c:lblAlgn val="ctr"/>
        <c:lblOffset val="100"/>
        <c:noMultiLvlLbl val="0"/>
      </c:catAx>
      <c:valAx>
        <c:axId val="587186056"/>
        <c:scaling>
          <c:orientation val="minMax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58718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[3]Data!$B$8</c:f>
              <c:strCache>
                <c:ptCount val="1"/>
                <c:pt idx="0">
                  <c:v>2012 LED lamp no replacement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[3]Data!$A$9:$A$26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[3]Data!$B$9:$B$26</c:f>
              <c:numCache>
                <c:formatCode>General</c:formatCode>
                <c:ptCount val="18"/>
                <c:pt idx="0">
                  <c:v>1.5325284806876529E-2</c:v>
                </c:pt>
                <c:pt idx="1">
                  <c:v>9.2264201799786491E-4</c:v>
                </c:pt>
                <c:pt idx="2">
                  <c:v>2.3838690072569269E-2</c:v>
                </c:pt>
                <c:pt idx="3">
                  <c:v>0.43702988826886802</c:v>
                </c:pt>
                <c:pt idx="4">
                  <c:v>6.5379860007144111E-3</c:v>
                </c:pt>
                <c:pt idx="5">
                  <c:v>0.25827419181652705</c:v>
                </c:pt>
                <c:pt idx="6">
                  <c:v>7.1611277396672196E-3</c:v>
                </c:pt>
                <c:pt idx="7">
                  <c:v>1.936435237527347E-2</c:v>
                </c:pt>
                <c:pt idx="8">
                  <c:v>1.7379902231399423E-3</c:v>
                </c:pt>
                <c:pt idx="9">
                  <c:v>0.41751889248307661</c:v>
                </c:pt>
                <c:pt idx="10">
                  <c:v>0.49875819670263116</c:v>
                </c:pt>
                <c:pt idx="11">
                  <c:v>1.2566466375599836E-2</c:v>
                </c:pt>
                <c:pt idx="12">
                  <c:v>4.9351847895304059E-3</c:v>
                </c:pt>
                <c:pt idx="13">
                  <c:v>3.2804615948792883E-3</c:v>
                </c:pt>
                <c:pt idx="14">
                  <c:v>0.12068695165111924</c:v>
                </c:pt>
                <c:pt idx="15">
                  <c:v>0</c:v>
                </c:pt>
                <c:pt idx="16">
                  <c:v>2.464525304006349E-2</c:v>
                </c:pt>
                <c:pt idx="17">
                  <c:v>2.9172305997071001E-2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0-482D-A018-892AEF92DC13}"/>
            </c:ext>
          </c:extLst>
        </c:ser>
        <c:ser>
          <c:idx val="1"/>
          <c:order val="1"/>
          <c:tx>
            <c:strRef>
              <c:f>[3]Data!$C$8</c:f>
              <c:strCache>
                <c:ptCount val="1"/>
                <c:pt idx="0">
                  <c:v>Replacement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[3]Data!$A$9:$A$26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[3]Data!$C$9:$C$26</c:f>
              <c:numCache>
                <c:formatCode>General</c:formatCode>
                <c:ptCount val="18"/>
                <c:pt idx="0">
                  <c:v>1.4831101525956016E-2</c:v>
                </c:pt>
                <c:pt idx="1">
                  <c:v>8.6511612547805533E-4</c:v>
                </c:pt>
                <c:pt idx="2">
                  <c:v>2.3335610516202272E-2</c:v>
                </c:pt>
                <c:pt idx="3">
                  <c:v>0.43719569396855607</c:v>
                </c:pt>
                <c:pt idx="4">
                  <c:v>6.7461752152598734E-3</c:v>
                </c:pt>
                <c:pt idx="5">
                  <c:v>0.27741223891647793</c:v>
                </c:pt>
                <c:pt idx="6">
                  <c:v>7.1435293910549506E-3</c:v>
                </c:pt>
                <c:pt idx="7">
                  <c:v>1.9395845971609441E-2</c:v>
                </c:pt>
                <c:pt idx="8">
                  <c:v>1.7879360214917239E-3</c:v>
                </c:pt>
                <c:pt idx="9">
                  <c:v>0.43367706111783566</c:v>
                </c:pt>
                <c:pt idx="10">
                  <c:v>0.51604838171633838</c:v>
                </c:pt>
                <c:pt idx="11">
                  <c:v>1.1520428993196734E-2</c:v>
                </c:pt>
                <c:pt idx="12">
                  <c:v>4.5888048976259772E-3</c:v>
                </c:pt>
                <c:pt idx="13">
                  <c:v>3.4125866879406936E-3</c:v>
                </c:pt>
                <c:pt idx="14">
                  <c:v>0.11738079779641912</c:v>
                </c:pt>
                <c:pt idx="15">
                  <c:v>0</c:v>
                </c:pt>
                <c:pt idx="16">
                  <c:v>2.7912433059824229E-2</c:v>
                </c:pt>
                <c:pt idx="17">
                  <c:v>2.7992176259166814E-2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0-482D-A018-892AEF92DC13}"/>
            </c:ext>
          </c:extLst>
        </c:ser>
        <c:ser>
          <c:idx val="2"/>
          <c:order val="2"/>
          <c:tx>
            <c:strRef>
              <c:f>[3]Data!$D$8</c:f>
              <c:strCache>
                <c:ptCount val="1"/>
                <c:pt idx="0">
                  <c:v>Replacement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[3]Data!$A$9:$A$26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[3]Data!$D$9:$D$26</c:f>
              <c:numCache>
                <c:formatCode>General</c:formatCode>
                <c:ptCount val="18"/>
                <c:pt idx="0">
                  <c:v>1.5561134473049087E-2</c:v>
                </c:pt>
                <c:pt idx="1">
                  <c:v>9.2315402320770153E-4</c:v>
                </c:pt>
                <c:pt idx="2">
                  <c:v>2.4252033010996731E-2</c:v>
                </c:pt>
                <c:pt idx="3">
                  <c:v>0.44533699772056967</c:v>
                </c:pt>
                <c:pt idx="4">
                  <c:v>6.8581749142044238E-3</c:v>
                </c:pt>
                <c:pt idx="5">
                  <c:v>0.26901098987348715</c:v>
                </c:pt>
                <c:pt idx="6">
                  <c:v>7.3498765426386987E-3</c:v>
                </c:pt>
                <c:pt idx="7">
                  <c:v>1.9876841929218934E-2</c:v>
                </c:pt>
                <c:pt idx="8">
                  <c:v>2.7485502455905962E-3</c:v>
                </c:pt>
                <c:pt idx="9">
                  <c:v>0.43171830010669143</c:v>
                </c:pt>
                <c:pt idx="10">
                  <c:v>0.51439605030434477</c:v>
                </c:pt>
                <c:pt idx="11">
                  <c:v>1.2483847425857515E-2</c:v>
                </c:pt>
                <c:pt idx="12">
                  <c:v>4.9317387760825877E-3</c:v>
                </c:pt>
                <c:pt idx="13">
                  <c:v>3.3990816757121906E-3</c:v>
                </c:pt>
                <c:pt idx="14">
                  <c:v>0.12259281551171727</c:v>
                </c:pt>
                <c:pt idx="15">
                  <c:v>0</c:v>
                </c:pt>
                <c:pt idx="16">
                  <c:v>2.6212688309862751E-2</c:v>
                </c:pt>
                <c:pt idx="17">
                  <c:v>2.9526363321483111E-2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0-482D-A018-892AEF92DC13}"/>
            </c:ext>
          </c:extLst>
        </c:ser>
        <c:ser>
          <c:idx val="3"/>
          <c:order val="3"/>
          <c:tx>
            <c:strRef>
              <c:f>[3]Data!$E$8</c:f>
              <c:strCache>
                <c:ptCount val="1"/>
                <c:pt idx="0">
                  <c:v>Replacement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[3]Data!$A$9:$A$26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[3]Data!$E$9:$E$26</c:f>
              <c:numCache>
                <c:formatCode>General</c:formatCode>
                <c:ptCount val="18"/>
                <c:pt idx="0">
                  <c:v>1.717174064735073E-2</c:v>
                </c:pt>
                <c:pt idx="1">
                  <c:v>1.0249364644669098E-3</c:v>
                </c:pt>
                <c:pt idx="2">
                  <c:v>2.6618626030627937E-2</c:v>
                </c:pt>
                <c:pt idx="3">
                  <c:v>0.49079272109321992</c:v>
                </c:pt>
                <c:pt idx="4">
                  <c:v>7.1925144541323338E-3</c:v>
                </c:pt>
                <c:pt idx="5">
                  <c:v>0.29112323133170276</c:v>
                </c:pt>
                <c:pt idx="6">
                  <c:v>8.0130452053993814E-3</c:v>
                </c:pt>
                <c:pt idx="7">
                  <c:v>2.1642493874775664E-2</c:v>
                </c:pt>
                <c:pt idx="8">
                  <c:v>2.8821370862962808E-3</c:v>
                </c:pt>
                <c:pt idx="9">
                  <c:v>0.46961018519322706</c:v>
                </c:pt>
                <c:pt idx="10">
                  <c:v>0.55997642731463937</c:v>
                </c:pt>
                <c:pt idx="11">
                  <c:v>1.400810725539859E-2</c:v>
                </c:pt>
                <c:pt idx="12">
                  <c:v>5.4960341572887778E-3</c:v>
                </c:pt>
                <c:pt idx="13">
                  <c:v>3.680375409463752E-3</c:v>
                </c:pt>
                <c:pt idx="14">
                  <c:v>0.13449552707221948</c:v>
                </c:pt>
                <c:pt idx="15">
                  <c:v>0</c:v>
                </c:pt>
                <c:pt idx="16">
                  <c:v>2.6432766360054281E-2</c:v>
                </c:pt>
                <c:pt idx="17">
                  <c:v>3.2663477282383974E-2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0-482D-A018-892AEF92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471728"/>
        <c:axId val="609472384"/>
      </c:barChart>
      <c:catAx>
        <c:axId val="60947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72384"/>
        <c:crosses val="autoZero"/>
        <c:auto val="1"/>
        <c:lblAlgn val="ctr"/>
        <c:lblOffset val="100"/>
        <c:noMultiLvlLbl val="0"/>
      </c:catAx>
      <c:valAx>
        <c:axId val="60947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7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'Uncertainty analysis'!$B$8</c:f>
              <c:strCache>
                <c:ptCount val="1"/>
                <c:pt idx="0">
                  <c:v>2012 Product 0 (EU avg)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'Uncertainty analysis'!$D$9:$D$27</c:f>
                <c:numCache>
                  <c:formatCode>General</c:formatCode>
                  <c:ptCount val="19"/>
                  <c:pt idx="0">
                    <c:v>5.8714753122334074</c:v>
                  </c:pt>
                  <c:pt idx="1">
                    <c:v>29.359723731239718</c:v>
                  </c:pt>
                  <c:pt idx="2">
                    <c:v>10.794719576665372</c:v>
                  </c:pt>
                  <c:pt idx="3">
                    <c:v>212.57697701391436</c:v>
                  </c:pt>
                  <c:pt idx="4">
                    <c:v>28.041948345249381</c:v>
                  </c:pt>
                  <c:pt idx="5">
                    <c:v>310.04519547287663</c:v>
                  </c:pt>
                  <c:pt idx="6">
                    <c:v>13.765793511445111</c:v>
                  </c:pt>
                  <c:pt idx="7">
                    <c:v>9.0438168119551037</c:v>
                  </c:pt>
                  <c:pt idx="8">
                    <c:v>21.506681270142302</c:v>
                  </c:pt>
                  <c:pt idx="9">
                    <c:v>97.022061977784574</c:v>
                  </c:pt>
                  <c:pt idx="10">
                    <c:v>93.428787305650246</c:v>
                  </c:pt>
                  <c:pt idx="11">
                    <c:v>523.9614253213972</c:v>
                  </c:pt>
                  <c:pt idx="12">
                    <c:v>52.448791809455798</c:v>
                  </c:pt>
                  <c:pt idx="13">
                    <c:v>59.481155833820225</c:v>
                  </c:pt>
                  <c:pt idx="14">
                    <c:v>1087.1959110946937</c:v>
                  </c:pt>
                  <c:pt idx="15">
                    <c:v>1304.6932445142711</c:v>
                  </c:pt>
                  <c:pt idx="16">
                    <c:v>25.893342869882389</c:v>
                  </c:pt>
                  <c:pt idx="17">
                    <c:v>25.606138827788435</c:v>
                  </c:pt>
                </c:numCache>
              </c:numRef>
            </c:plus>
            <c:minus>
              <c:numRef>
                <c:f>'Uncertainty analysis'!$C$9:$C$27</c:f>
                <c:numCache>
                  <c:formatCode>General</c:formatCode>
                  <c:ptCount val="19"/>
                  <c:pt idx="0">
                    <c:v>4.0403370139787071</c:v>
                  </c:pt>
                  <c:pt idx="1">
                    <c:v>21.224582514843782</c:v>
                  </c:pt>
                  <c:pt idx="2">
                    <c:v>5.5340889010990253</c:v>
                  </c:pt>
                  <c:pt idx="3">
                    <c:v>55.531884925800455</c:v>
                  </c:pt>
                  <c:pt idx="4">
                    <c:v>16.034301124579457</c:v>
                  </c:pt>
                  <c:pt idx="5">
                    <c:v>54.383104607661096</c:v>
                  </c:pt>
                  <c:pt idx="6">
                    <c:v>8.7401708576537942</c:v>
                  </c:pt>
                  <c:pt idx="7">
                    <c:v>6.6643444065560047</c:v>
                  </c:pt>
                  <c:pt idx="8">
                    <c:v>13.404599214487597</c:v>
                  </c:pt>
                  <c:pt idx="9">
                    <c:v>35.872054899451257</c:v>
                  </c:pt>
                  <c:pt idx="10">
                    <c:v>34.770873558423602</c:v>
                  </c:pt>
                  <c:pt idx="11">
                    <c:v>51.565441728270116</c:v>
                  </c:pt>
                  <c:pt idx="12">
                    <c:v>30.270116349956567</c:v>
                  </c:pt>
                  <c:pt idx="13">
                    <c:v>23.708058098439977</c:v>
                  </c:pt>
                  <c:pt idx="14">
                    <c:v>969.21145418896731</c:v>
                  </c:pt>
                  <c:pt idx="15">
                    <c:v>1863.5257154898277</c:v>
                  </c:pt>
                  <c:pt idx="16">
                    <c:v>17.735248075302536</c:v>
                  </c:pt>
                  <c:pt idx="17">
                    <c:v>16.220624760577344</c:v>
                  </c:pt>
                </c:numCache>
              </c:numRef>
            </c:minus>
          </c:errBars>
          <c:cat>
            <c:strRef>
              <c:f>'Uncertainty analysis'!$A$9:$A$26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'Uncertainty analysis'!$B$9:$B$26</c:f>
              <c:numCache>
                <c:formatCode>#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4-46D5-8C6B-58C85986D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5612936"/>
        <c:axId val="575611952"/>
      </c:barChart>
      <c:catAx>
        <c:axId val="57561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575611952"/>
        <c:crosses val="autoZero"/>
        <c:auto val="1"/>
        <c:lblAlgn val="ctr"/>
        <c:lblOffset val="100"/>
        <c:noMultiLvlLbl val="0"/>
      </c:catAx>
      <c:valAx>
        <c:axId val="575611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%</a:t>
                </a:r>
              </a:p>
            </c:rich>
          </c:tx>
          <c:layout/>
          <c:overlay val="0"/>
        </c:title>
        <c:numFmt formatCode="#" sourceLinked="1"/>
        <c:majorTickMark val="out"/>
        <c:minorTickMark val="none"/>
        <c:tickLblPos val="nextTo"/>
        <c:crossAx val="575612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'2012 LED lamp LC (EU)'!$B$8</c:f>
              <c:strCache>
                <c:ptCount val="1"/>
                <c:pt idx="0">
                  <c:v>Manufacturing and Materials</c:v>
                </c:pt>
              </c:strCache>
            </c:strRef>
          </c:tx>
          <c:invertIfNegative val="0"/>
          <c:cat>
            <c:strRef>
              <c:f>'2012 LED lamp LC (EU)'!$A$9:$A$26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'2012 LED lamp LC (EU)'!$B$9:$B$26</c:f>
              <c:numCache>
                <c:formatCode>0.####</c:formatCode>
                <c:ptCount val="18"/>
                <c:pt idx="0">
                  <c:v>6.8395413943575827</c:v>
                </c:pt>
                <c:pt idx="1">
                  <c:v>5.6875056759279659</c:v>
                </c:pt>
                <c:pt idx="2">
                  <c:v>10.383864522684112</c:v>
                </c:pt>
                <c:pt idx="3">
                  <c:v>17.464326531326254</c:v>
                </c:pt>
                <c:pt idx="4">
                  <c:v>24.82615852771648</c:v>
                </c:pt>
                <c:pt idx="5">
                  <c:v>33.673600871798257</c:v>
                </c:pt>
                <c:pt idx="6">
                  <c:v>13.103606153080971</c:v>
                </c:pt>
                <c:pt idx="7">
                  <c:v>14.061195041718957</c:v>
                </c:pt>
                <c:pt idx="8">
                  <c:v>18.260293784407736</c:v>
                </c:pt>
                <c:pt idx="9">
                  <c:v>22.919829429087891</c:v>
                </c:pt>
                <c:pt idx="10">
                  <c:v>23.821826066201027</c:v>
                </c:pt>
                <c:pt idx="11">
                  <c:v>1.4589308980491531</c:v>
                </c:pt>
                <c:pt idx="12">
                  <c:v>3.9179044751508267</c:v>
                </c:pt>
                <c:pt idx="13">
                  <c:v>21.39935531230519</c:v>
                </c:pt>
                <c:pt idx="14">
                  <c:v>11.35640989311112</c:v>
                </c:pt>
                <c:pt idx="15">
                  <c:v>3.8061613888029902</c:v>
                </c:pt>
                <c:pt idx="16">
                  <c:v>62.099306847211423</c:v>
                </c:pt>
                <c:pt idx="17" formatCode="0.###">
                  <c:v>6.3240767091249595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8-4BFF-AD3C-2BFB12887F78}"/>
            </c:ext>
          </c:extLst>
        </c:ser>
        <c:ser>
          <c:idx val="1"/>
          <c:order val="1"/>
          <c:tx>
            <c:strRef>
              <c:f>'2012 LED lamp LC (EU)'!$C$8</c:f>
              <c:strCache>
                <c:ptCount val="1"/>
                <c:pt idx="0">
                  <c:v>Use (RER)</c:v>
                </c:pt>
              </c:strCache>
            </c:strRef>
          </c:tx>
          <c:invertIfNegative val="0"/>
          <c:cat>
            <c:strRef>
              <c:f>'2012 LED lamp LC (EU)'!$A$9:$A$26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'2012 LED lamp LC (EU)'!$C$9:$C$26</c:f>
              <c:numCache>
                <c:formatCode>0.####</c:formatCode>
                <c:ptCount val="18"/>
                <c:pt idx="0">
                  <c:v>92.856909673725781</c:v>
                </c:pt>
                <c:pt idx="1">
                  <c:v>94.254426603242024</c:v>
                </c:pt>
                <c:pt idx="2">
                  <c:v>89.52859277707293</c:v>
                </c:pt>
                <c:pt idx="3">
                  <c:v>82.529412883569279</c:v>
                </c:pt>
                <c:pt idx="4" formatCode="0.###">
                  <c:v>75.097070051405041</c:v>
                </c:pt>
                <c:pt idx="5" formatCode="0.###">
                  <c:v>66.019012487877021</c:v>
                </c:pt>
                <c:pt idx="6">
                  <c:v>86.722158938488363</c:v>
                </c:pt>
                <c:pt idx="7">
                  <c:v>85.84411370528656</c:v>
                </c:pt>
                <c:pt idx="8">
                  <c:v>77.163806455802614</c:v>
                </c:pt>
                <c:pt idx="9">
                  <c:v>74.725242826103539</c:v>
                </c:pt>
                <c:pt idx="10">
                  <c:v>74.577504581771279</c:v>
                </c:pt>
                <c:pt idx="11">
                  <c:v>98.534299201206025</c:v>
                </c:pt>
                <c:pt idx="12">
                  <c:v>96.077819696623806</c:v>
                </c:pt>
                <c:pt idx="13">
                  <c:v>78.426808000604737</c:v>
                </c:pt>
                <c:pt idx="14">
                  <c:v>88.523270200991817</c:v>
                </c:pt>
                <c:pt idx="15">
                  <c:v>96.181212610689741</c:v>
                </c:pt>
                <c:pt idx="16">
                  <c:v>37.886182732599572</c:v>
                </c:pt>
                <c:pt idx="17">
                  <c:v>93.626523495525532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8-4BFF-AD3C-2BFB12887F78}"/>
            </c:ext>
          </c:extLst>
        </c:ser>
        <c:ser>
          <c:idx val="2"/>
          <c:order val="2"/>
          <c:tx>
            <c:strRef>
              <c:f>'2012 LED lamp LC (EU)'!$D$8</c:f>
              <c:strCache>
                <c:ptCount val="1"/>
                <c:pt idx="0">
                  <c:v>LED lamp transport</c:v>
                </c:pt>
              </c:strCache>
            </c:strRef>
          </c:tx>
          <c:invertIfNegative val="0"/>
          <c:cat>
            <c:strRef>
              <c:f>'2012 LED lamp LC (EU)'!$A$9:$A$26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'2012 LED lamp LC (EU)'!$D$9:$D$26</c:f>
              <c:numCache>
                <c:formatCode>0.####</c:formatCode>
                <c:ptCount val="18"/>
                <c:pt idx="0">
                  <c:v>3.5377810542478294E-2</c:v>
                </c:pt>
                <c:pt idx="1">
                  <c:v>5.2486124003550669E-2</c:v>
                </c:pt>
                <c:pt idx="2">
                  <c:v>7.6939621491773913E-2</c:v>
                </c:pt>
                <c:pt idx="3">
                  <c:v>3.4691780799538186E-3</c:v>
                </c:pt>
                <c:pt idx="4">
                  <c:v>3.2557391829842242E-2</c:v>
                </c:pt>
                <c:pt idx="5">
                  <c:v>8.2913668339045076E-3</c:v>
                </c:pt>
                <c:pt idx="6">
                  <c:v>0.13983529645052958</c:v>
                </c:pt>
                <c:pt idx="7" formatCode="0.###">
                  <c:v>8.2071063724112131E-2</c:v>
                </c:pt>
                <c:pt idx="8">
                  <c:v>0.1241642343772327</c:v>
                </c:pt>
                <c:pt idx="9">
                  <c:v>4.7831665033936715E-3</c:v>
                </c:pt>
                <c:pt idx="10">
                  <c:v>8.5761734875304235E-3</c:v>
                </c:pt>
                <c:pt idx="11">
                  <c:v>6.2649074007808522E-3</c:v>
                </c:pt>
                <c:pt idx="12">
                  <c:v>3.487421690775201E-3</c:v>
                </c:pt>
                <c:pt idx="13">
                  <c:v>0.16258457303934665</c:v>
                </c:pt>
                <c:pt idx="14">
                  <c:v>0.1203199058970653</c:v>
                </c:pt>
                <c:pt idx="15">
                  <c:v>7.1802578502644576E-3</c:v>
                </c:pt>
                <c:pt idx="16">
                  <c:v>1.1730865085387831E-2</c:v>
                </c:pt>
                <c:pt idx="17">
                  <c:v>4.6615409249722753E-2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58-4BFF-AD3C-2BFB12887F78}"/>
            </c:ext>
          </c:extLst>
        </c:ser>
        <c:ser>
          <c:idx val="3"/>
          <c:order val="3"/>
          <c:tx>
            <c:strRef>
              <c:f>'2012 LED lamp LC (EU)'!$E$8</c:f>
              <c:strCache>
                <c:ptCount val="1"/>
                <c:pt idx="0">
                  <c:v>LED waste</c:v>
                </c:pt>
              </c:strCache>
            </c:strRef>
          </c:tx>
          <c:invertIfNegative val="0"/>
          <c:cat>
            <c:strRef>
              <c:f>'2012 LED lamp LC (EU)'!$A$9:$A$26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'2012 LED lamp LC (EU)'!$E$9:$E$26</c:f>
              <c:numCache>
                <c:formatCode>0.####</c:formatCode>
                <c:ptCount val="18"/>
                <c:pt idx="0">
                  <c:v>0.2681711213741535</c:v>
                </c:pt>
                <c:pt idx="1">
                  <c:v>5.5815968264810419E-3</c:v>
                </c:pt>
                <c:pt idx="2">
                  <c:v>1.060307875118916E-2</c:v>
                </c:pt>
                <c:pt idx="3">
                  <c:v>2.7914070245279947E-3</c:v>
                </c:pt>
                <c:pt idx="4">
                  <c:v>4.4214029048644923E-2</c:v>
                </c:pt>
                <c:pt idx="5" formatCode="0.###">
                  <c:v>0.29909527349080867</c:v>
                </c:pt>
                <c:pt idx="6">
                  <c:v>3.4399611980116311E-2</c:v>
                </c:pt>
                <c:pt idx="7">
                  <c:v>1.2620189270357959E-2</c:v>
                </c:pt>
                <c:pt idx="8">
                  <c:v>4.451735525412432</c:v>
                </c:pt>
                <c:pt idx="9">
                  <c:v>2.3501445783051707</c:v>
                </c:pt>
                <c:pt idx="10" formatCode="0.###">
                  <c:v>1.5920931785401566</c:v>
                </c:pt>
                <c:pt idx="11">
                  <c:v>5.0499334404753799E-4</c:v>
                </c:pt>
                <c:pt idx="12">
                  <c:v>7.884065345994248E-4</c:v>
                </c:pt>
                <c:pt idx="13">
                  <c:v>1.1252114050725957E-2</c:v>
                </c:pt>
                <c:pt idx="14" formatCode="#">
                  <c:v>-1.3057018292596798E-2</c:v>
                </c:pt>
                <c:pt idx="15">
                  <c:v>5.4457426570101112E-3</c:v>
                </c:pt>
                <c:pt idx="16">
                  <c:v>2.7795551036179224E-3</c:v>
                </c:pt>
                <c:pt idx="17">
                  <c:v>2.784386099794024E-3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58-4BFF-AD3C-2BFB12887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851360"/>
        <c:axId val="484852016"/>
      </c:barChart>
      <c:catAx>
        <c:axId val="48485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4852016"/>
        <c:crosses val="autoZero"/>
        <c:auto val="1"/>
        <c:lblAlgn val="ctr"/>
        <c:lblOffset val="100"/>
        <c:noMultiLvlLbl val="0"/>
      </c:catAx>
      <c:valAx>
        <c:axId val="484852016"/>
        <c:scaling>
          <c:orientation val="minMax"/>
          <c:max val="100"/>
          <c:min val="0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484851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'2017 Product 1 LC (NO)'!$B$8</c:f>
              <c:strCache>
                <c:ptCount val="1"/>
                <c:pt idx="0">
                  <c:v>Manufacturing and Materials</c:v>
                </c:pt>
              </c:strCache>
            </c:strRef>
          </c:tx>
          <c:invertIfNegative val="0"/>
          <c:cat>
            <c:strRef>
              <c:f>'2017 Product 1 LC (NO)'!$A$9:$A$26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'2017 Product 1 LC (NO)'!$B$9:$B$26</c:f>
              <c:numCache>
                <c:formatCode>0.####</c:formatCode>
                <c:ptCount val="18"/>
                <c:pt idx="0">
                  <c:v>56.490599794521238</c:v>
                </c:pt>
                <c:pt idx="1">
                  <c:v>32.754490470909673</c:v>
                </c:pt>
                <c:pt idx="2">
                  <c:v>62.207512253799244</c:v>
                </c:pt>
                <c:pt idx="3" formatCode="0.###">
                  <c:v>77.734066587394267</c:v>
                </c:pt>
                <c:pt idx="4">
                  <c:v>81.985135547502281</c:v>
                </c:pt>
                <c:pt idx="5">
                  <c:v>74.77193500687099</c:v>
                </c:pt>
                <c:pt idx="6">
                  <c:v>64.085339931628837</c:v>
                </c:pt>
                <c:pt idx="7">
                  <c:v>61.307368917509685</c:v>
                </c:pt>
                <c:pt idx="8">
                  <c:v>42.834227461496653</c:v>
                </c:pt>
                <c:pt idx="9">
                  <c:v>44.248270920409837</c:v>
                </c:pt>
                <c:pt idx="10" formatCode="0.###">
                  <c:v>46.174060964024264</c:v>
                </c:pt>
                <c:pt idx="11">
                  <c:v>21.305930347146028</c:v>
                </c:pt>
                <c:pt idx="12">
                  <c:v>18.070863905117921</c:v>
                </c:pt>
                <c:pt idx="13" formatCode="0.###">
                  <c:v>68.428059428903993</c:v>
                </c:pt>
                <c:pt idx="14">
                  <c:v>25.88279573095928</c:v>
                </c:pt>
                <c:pt idx="15">
                  <c:v>0.92948620458996689</c:v>
                </c:pt>
                <c:pt idx="16" formatCode="0.###">
                  <c:v>67.773030160297594</c:v>
                </c:pt>
                <c:pt idx="17" formatCode="0.###">
                  <c:v>55.78904824212804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6-4819-85EE-D47D8F3D1BA4}"/>
            </c:ext>
          </c:extLst>
        </c:ser>
        <c:ser>
          <c:idx val="1"/>
          <c:order val="1"/>
          <c:tx>
            <c:strRef>
              <c:f>'2017 Product 1 LC (NO)'!$C$8</c:f>
              <c:strCache>
                <c:ptCount val="1"/>
                <c:pt idx="0">
                  <c:v>Use (NO)</c:v>
                </c:pt>
              </c:strCache>
            </c:strRef>
          </c:tx>
          <c:invertIfNegative val="0"/>
          <c:cat>
            <c:strRef>
              <c:f>'2017 Product 1 LC (NO)'!$A$9:$A$26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'2017 Product 1 LC (NO)'!$C$9:$C$26</c:f>
              <c:numCache>
                <c:formatCode>0.####</c:formatCode>
                <c:ptCount val="18"/>
                <c:pt idx="0">
                  <c:v>41.170203652453701</c:v>
                </c:pt>
                <c:pt idx="1">
                  <c:v>66.048806411083859</c:v>
                </c:pt>
                <c:pt idx="2">
                  <c:v>36.369669701389761</c:v>
                </c:pt>
                <c:pt idx="3">
                  <c:v>22.198314216714866</c:v>
                </c:pt>
                <c:pt idx="4">
                  <c:v>17.462338536084097</c:v>
                </c:pt>
                <c:pt idx="5">
                  <c:v>24.442823301061949</c:v>
                </c:pt>
                <c:pt idx="6">
                  <c:v>33.735790970211703</c:v>
                </c:pt>
                <c:pt idx="7">
                  <c:v>37.575980202602175</c:v>
                </c:pt>
                <c:pt idx="8" formatCode="0.###">
                  <c:v>44.964060726370931</c:v>
                </c:pt>
                <c:pt idx="9">
                  <c:v>50.91231074269048</c:v>
                </c:pt>
                <c:pt idx="10">
                  <c:v>50.393348851018452</c:v>
                </c:pt>
                <c:pt idx="11">
                  <c:v>78.36415766176529</c:v>
                </c:pt>
                <c:pt idx="12">
                  <c:v>81.867965401782868</c:v>
                </c:pt>
                <c:pt idx="13">
                  <c:v>29.908719649670584</c:v>
                </c:pt>
                <c:pt idx="14">
                  <c:v>73.159444828851591</c:v>
                </c:pt>
                <c:pt idx="15">
                  <c:v>99.063254411197875</c:v>
                </c:pt>
                <c:pt idx="16">
                  <c:v>32.167522196610406</c:v>
                </c:pt>
                <c:pt idx="17">
                  <c:v>43.135425297396083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6-4819-85EE-D47D8F3D1BA4}"/>
            </c:ext>
          </c:extLst>
        </c:ser>
        <c:ser>
          <c:idx val="2"/>
          <c:order val="2"/>
          <c:tx>
            <c:strRef>
              <c:f>'2017 Product 1 LC (NO)'!$D$8</c:f>
              <c:strCache>
                <c:ptCount val="1"/>
                <c:pt idx="0">
                  <c:v>LED lamp transport</c:v>
                </c:pt>
              </c:strCache>
            </c:strRef>
          </c:tx>
          <c:invertIfNegative val="0"/>
          <c:cat>
            <c:strRef>
              <c:f>'2017 Product 1 LC (NO)'!$A$9:$A$26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'2017 Product 1 LC (NO)'!$D$9:$D$26</c:f>
              <c:numCache>
                <c:formatCode>0.####</c:formatCode>
                <c:ptCount val="18"/>
                <c:pt idx="0">
                  <c:v>0.71640988480681767</c:v>
                </c:pt>
                <c:pt idx="1">
                  <c:v>1.1598450358452157</c:v>
                </c:pt>
                <c:pt idx="2">
                  <c:v>1.366541979611078</c:v>
                </c:pt>
                <c:pt idx="3">
                  <c:v>5.4512055865175144E-2</c:v>
                </c:pt>
                <c:pt idx="4" formatCode="0.###">
                  <c:v>0.39302858303368948</c:v>
                </c:pt>
                <c:pt idx="5">
                  <c:v>6.6661209815208483E-2</c:v>
                </c:pt>
                <c:pt idx="6">
                  <c:v>2.0296652712862029</c:v>
                </c:pt>
                <c:pt idx="7">
                  <c:v>1.0675939122118614</c:v>
                </c:pt>
                <c:pt idx="8">
                  <c:v>1.0416349389979143</c:v>
                </c:pt>
                <c:pt idx="9">
                  <c:v>3.2737641399280579E-2</c:v>
                </c:pt>
                <c:pt idx="10">
                  <c:v>6.0781195111201419E-2</c:v>
                </c:pt>
                <c:pt idx="11">
                  <c:v>0.3221521847464261</c:v>
                </c:pt>
                <c:pt idx="12">
                  <c:v>5.7299745853370353E-2</c:v>
                </c:pt>
                <c:pt idx="13">
                  <c:v>1.6295206447944961</c:v>
                </c:pt>
                <c:pt idx="14">
                  <c:v>0.95775944018911663</c:v>
                </c:pt>
                <c:pt idx="15">
                  <c:v>5.9181066264320376E-3</c:v>
                </c:pt>
                <c:pt idx="16">
                  <c:v>5.5516776565476461E-2</c:v>
                </c:pt>
                <c:pt idx="17">
                  <c:v>1.0566658206792812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6-4819-85EE-D47D8F3D1BA4}"/>
            </c:ext>
          </c:extLst>
        </c:ser>
        <c:ser>
          <c:idx val="3"/>
          <c:order val="3"/>
          <c:tx>
            <c:strRef>
              <c:f>'2017 Product 1 LC (NO)'!$E$8</c:f>
              <c:strCache>
                <c:ptCount val="1"/>
                <c:pt idx="0">
                  <c:v>LED waste</c:v>
                </c:pt>
              </c:strCache>
            </c:strRef>
          </c:tx>
          <c:invertIfNegative val="0"/>
          <c:cat>
            <c:strRef>
              <c:f>'2017 Product 1 LC (NO)'!$A$9:$A$26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'2017 Product 1 LC (NO)'!$E$9:$E$26</c:f>
              <c:numCache>
                <c:formatCode>0.####</c:formatCode>
                <c:ptCount val="18"/>
                <c:pt idx="0">
                  <c:v>1.622786668218247</c:v>
                </c:pt>
                <c:pt idx="1">
                  <c:v>3.6858082161251596E-2</c:v>
                </c:pt>
                <c:pt idx="2">
                  <c:v>5.6276065199907285E-2</c:v>
                </c:pt>
                <c:pt idx="3">
                  <c:v>1.3107140025701442E-2</c:v>
                </c:pt>
                <c:pt idx="4">
                  <c:v>0.15949733337992075</c:v>
                </c:pt>
                <c:pt idx="5">
                  <c:v>0.71858048225185422</c:v>
                </c:pt>
                <c:pt idx="6">
                  <c:v>0.14920382687326048</c:v>
                </c:pt>
                <c:pt idx="7" formatCode="0.###">
                  <c:v>4.9056967676295256E-2</c:v>
                </c:pt>
                <c:pt idx="8" formatCode="0.##">
                  <c:v>11.160076873134491</c:v>
                </c:pt>
                <c:pt idx="9">
                  <c:v>4.806680695500396</c:v>
                </c:pt>
                <c:pt idx="10">
                  <c:v>3.3718089898460826</c:v>
                </c:pt>
                <c:pt idx="11">
                  <c:v>7.7598063422608544E-3</c:v>
                </c:pt>
                <c:pt idx="12">
                  <c:v>3.870947245832008E-3</c:v>
                </c:pt>
                <c:pt idx="13">
                  <c:v>3.370027663093534E-2</c:v>
                </c:pt>
                <c:pt idx="14" formatCode="#">
                  <c:v>-3.1058592936223577E-2</c:v>
                </c:pt>
                <c:pt idx="15">
                  <c:v>1.3412775857188561E-3</c:v>
                </c:pt>
                <c:pt idx="16">
                  <c:v>3.9308665265356335E-3</c:v>
                </c:pt>
                <c:pt idx="17">
                  <c:v>1.8860639796607358E-2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66-4819-85EE-D47D8F3D1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9634160"/>
        <c:axId val="579631536"/>
      </c:barChart>
      <c:catAx>
        <c:axId val="57963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9631536"/>
        <c:crosses val="autoZero"/>
        <c:auto val="1"/>
        <c:lblAlgn val="ctr"/>
        <c:lblOffset val="100"/>
        <c:noMultiLvlLbl val="0"/>
      </c:catAx>
      <c:valAx>
        <c:axId val="579631536"/>
        <c:scaling>
          <c:orientation val="minMax"/>
          <c:max val="100"/>
          <c:min val="0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579634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'2017 LC product 1 (SE)'!$B$8</c:f>
              <c:strCache>
                <c:ptCount val="1"/>
                <c:pt idx="0">
                  <c:v>Manufacturing and Materials</c:v>
                </c:pt>
              </c:strCache>
            </c:strRef>
          </c:tx>
          <c:invertIfNegative val="0"/>
          <c:cat>
            <c:strRef>
              <c:f>'2017 LC product 1 (SE)'!$A$9:$A$26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'2017 LC product 1 (SE)'!$B$9:$B$26</c:f>
              <c:numCache>
                <c:formatCode>0.####</c:formatCode>
                <c:ptCount val="18"/>
                <c:pt idx="0">
                  <c:v>45.203847312970545</c:v>
                </c:pt>
                <c:pt idx="1">
                  <c:v>4.9949787659461338</c:v>
                </c:pt>
                <c:pt idx="2">
                  <c:v>43.940794084104276</c:v>
                </c:pt>
                <c:pt idx="3">
                  <c:v>72.99881790683078</c:v>
                </c:pt>
                <c:pt idx="4">
                  <c:v>54.915308352702915</c:v>
                </c:pt>
                <c:pt idx="5">
                  <c:v>67.670229105701836</c:v>
                </c:pt>
                <c:pt idx="6">
                  <c:v>39.913315154973894</c:v>
                </c:pt>
                <c:pt idx="7">
                  <c:v>46.158121712950773</c:v>
                </c:pt>
                <c:pt idx="8">
                  <c:v>19.533511529024654</c:v>
                </c:pt>
                <c:pt idx="9">
                  <c:v>42.572988612042643</c:v>
                </c:pt>
                <c:pt idx="10">
                  <c:v>43.961481185190536</c:v>
                </c:pt>
                <c:pt idx="11" formatCode="0.###">
                  <c:v>0.82904627083484494</c:v>
                </c:pt>
                <c:pt idx="12">
                  <c:v>1.5291439766554931</c:v>
                </c:pt>
                <c:pt idx="13" formatCode="0.###">
                  <c:v>31.493096888654371</c:v>
                </c:pt>
                <c:pt idx="14">
                  <c:v>20.845407223697531</c:v>
                </c:pt>
                <c:pt idx="15" formatCode="0.###">
                  <c:v>4.0590871999462781</c:v>
                </c:pt>
                <c:pt idx="16">
                  <c:v>61.219725808290903</c:v>
                </c:pt>
                <c:pt idx="17">
                  <c:v>45.406732166978976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A4E-B62A-0E182358F217}"/>
            </c:ext>
          </c:extLst>
        </c:ser>
        <c:ser>
          <c:idx val="1"/>
          <c:order val="1"/>
          <c:tx>
            <c:strRef>
              <c:f>'2017 LC product 1 (SE)'!$C$8</c:f>
              <c:strCache>
                <c:ptCount val="1"/>
                <c:pt idx="0">
                  <c:v>Use (SE)</c:v>
                </c:pt>
              </c:strCache>
            </c:strRef>
          </c:tx>
          <c:invertIfNegative val="0"/>
          <c:cat>
            <c:strRef>
              <c:f>'2017 LC product 1 (SE)'!$A$9:$A$26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'2017 LC product 1 (SE)'!$C$9:$C$26</c:f>
              <c:numCache>
                <c:formatCode>0.####</c:formatCode>
                <c:ptCount val="18"/>
                <c:pt idx="0">
                  <c:v>52.924324731245086</c:v>
                </c:pt>
                <c:pt idx="1">
                  <c:v>94.822526968272399</c:v>
                </c:pt>
                <c:pt idx="2">
                  <c:v>55.054186544817206</c:v>
                </c:pt>
                <c:pt idx="3">
                  <c:v>26.93768198848953</c:v>
                </c:pt>
                <c:pt idx="4">
                  <c:v>44.714598568699323</c:v>
                </c:pt>
                <c:pt idx="5">
                  <c:v>31.61911006629856</c:v>
                </c:pt>
                <c:pt idx="6">
                  <c:v>58.729652343451434</c:v>
                </c:pt>
                <c:pt idx="7">
                  <c:v>53.001155413584634</c:v>
                </c:pt>
                <c:pt idx="8">
                  <c:v>74.902193459961765</c:v>
                </c:pt>
                <c:pt idx="9">
                  <c:v>52.77081810197928</c:v>
                </c:pt>
                <c:pt idx="10">
                  <c:v>52.770412310240303</c:v>
                </c:pt>
                <c:pt idx="11">
                  <c:v>99.158116349924455</c:v>
                </c:pt>
                <c:pt idx="12">
                  <c:v>98.465679801719403</c:v>
                </c:pt>
                <c:pt idx="13">
                  <c:v>67.741427978529515</c:v>
                </c:pt>
                <c:pt idx="14">
                  <c:v>78.383235390040227</c:v>
                </c:pt>
                <c:pt idx="15">
                  <c:v>95.909210905510363</c:v>
                </c:pt>
                <c:pt idx="16">
                  <c:v>38.726574831045731</c:v>
                </c:pt>
                <c:pt idx="17">
                  <c:v>53.717896346255792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D-4A4E-B62A-0E182358F217}"/>
            </c:ext>
          </c:extLst>
        </c:ser>
        <c:ser>
          <c:idx val="2"/>
          <c:order val="2"/>
          <c:tx>
            <c:strRef>
              <c:f>'2017 LC product 1 (SE)'!$D$8</c:f>
              <c:strCache>
                <c:ptCount val="1"/>
                <c:pt idx="0">
                  <c:v>LED lamp transport</c:v>
                </c:pt>
              </c:strCache>
            </c:strRef>
          </c:tx>
          <c:invertIfNegative val="0"/>
          <c:cat>
            <c:strRef>
              <c:f>'2017 LC product 1 (SE)'!$A$9:$A$26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'2017 LC product 1 (SE)'!$D$9:$D$26</c:f>
              <c:numCache>
                <c:formatCode>0.####</c:formatCode>
                <c:ptCount val="18"/>
                <c:pt idx="0">
                  <c:v>0.57327207078856202</c:v>
                </c:pt>
                <c:pt idx="1">
                  <c:v>0.1768734994305039</c:v>
                </c:pt>
                <c:pt idx="2">
                  <c:v>0.96526830402415364</c:v>
                </c:pt>
                <c:pt idx="3">
                  <c:v>5.1191399228817117E-2</c:v>
                </c:pt>
                <c:pt idx="4">
                  <c:v>0.2632585260589716</c:v>
                </c:pt>
                <c:pt idx="5">
                  <c:v>6.0329846068539937E-2</c:v>
                </c:pt>
                <c:pt idx="6">
                  <c:v>1.2641061105134439</c:v>
                </c:pt>
                <c:pt idx="7">
                  <c:v>0.8037880396084045</c:v>
                </c:pt>
                <c:pt idx="8" formatCode="0.###">
                  <c:v>0.47501237262280066</c:v>
                </c:pt>
                <c:pt idx="9">
                  <c:v>3.149816265743071E-2</c:v>
                </c:pt>
                <c:pt idx="10">
                  <c:v>5.7868667141432614E-2</c:v>
                </c:pt>
                <c:pt idx="11">
                  <c:v>1.2535433330943126E-2</c:v>
                </c:pt>
                <c:pt idx="12">
                  <c:v>4.8486647526394021E-3</c:v>
                </c:pt>
                <c:pt idx="13">
                  <c:v>0.74996503237611445</c:v>
                </c:pt>
                <c:pt idx="14">
                  <c:v>0.77135738626223149</c:v>
                </c:pt>
                <c:pt idx="15">
                  <c:v>2.5844505081509324E-2</c:v>
                </c:pt>
                <c:pt idx="16">
                  <c:v>5.0148588769042733E-2</c:v>
                </c:pt>
                <c:pt idx="17" formatCode="0.##">
                  <c:v>0.86002080335491515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D-4A4E-B62A-0E182358F217}"/>
            </c:ext>
          </c:extLst>
        </c:ser>
        <c:ser>
          <c:idx val="3"/>
          <c:order val="3"/>
          <c:tx>
            <c:strRef>
              <c:f>'2017 LC product 1 (SE)'!$E$8</c:f>
              <c:strCache>
                <c:ptCount val="1"/>
                <c:pt idx="0">
                  <c:v>LED waste</c:v>
                </c:pt>
              </c:strCache>
            </c:strRef>
          </c:tx>
          <c:invertIfNegative val="0"/>
          <c:cat>
            <c:strRef>
              <c:f>'2017 LC product 1 (SE)'!$A$9:$A$26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'2017 LC product 1 (SE)'!$E$9:$E$26</c:f>
              <c:numCache>
                <c:formatCode>0.####</c:formatCode>
                <c:ptCount val="18"/>
                <c:pt idx="0">
                  <c:v>1.298555884995819</c:v>
                </c:pt>
                <c:pt idx="1">
                  <c:v>5.6207663509578541E-3</c:v>
                </c:pt>
                <c:pt idx="2">
                  <c:v>3.9751067054353273E-2</c:v>
                </c:pt>
                <c:pt idx="3">
                  <c:v>1.2308705450856352E-2</c:v>
                </c:pt>
                <c:pt idx="4">
                  <c:v>0.10683455253878713</c:v>
                </c:pt>
                <c:pt idx="5">
                  <c:v>0.65033098193107475</c:v>
                </c:pt>
                <c:pt idx="6">
                  <c:v>9.2926391061244548E-2</c:v>
                </c:pt>
                <c:pt idx="7">
                  <c:v>3.6934833856178247E-2</c:v>
                </c:pt>
                <c:pt idx="8">
                  <c:v>5.0892826383907614</c:v>
                </c:pt>
                <c:pt idx="9">
                  <c:v>4.6246951233206639</c:v>
                </c:pt>
                <c:pt idx="10">
                  <c:v>3.2102378374277278</c:v>
                </c:pt>
                <c:pt idx="11">
                  <c:v>3.0194590975583834E-4</c:v>
                </c:pt>
                <c:pt idx="12">
                  <c:v>3.2755687246224156E-4</c:v>
                </c:pt>
                <c:pt idx="13">
                  <c:v>1.551010044001669E-2</c:v>
                </c:pt>
                <c:pt idx="14" formatCode="#">
                  <c:v>-2.5013875002659763E-2</c:v>
                </c:pt>
                <c:pt idx="15">
                  <c:v>5.8573894618505398E-3</c:v>
                </c:pt>
                <c:pt idx="16">
                  <c:v>3.5507718943144769E-3</c:v>
                </c:pt>
                <c:pt idx="17">
                  <c:v>1.5350683410316045E-2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CD-4A4E-B62A-0E182358F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938792"/>
        <c:axId val="665930920"/>
      </c:barChart>
      <c:catAx>
        <c:axId val="665938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5930920"/>
        <c:crosses val="autoZero"/>
        <c:auto val="1"/>
        <c:lblAlgn val="ctr"/>
        <c:lblOffset val="100"/>
        <c:noMultiLvlLbl val="0"/>
      </c:catAx>
      <c:valAx>
        <c:axId val="665930920"/>
        <c:scaling>
          <c:orientation val="minMax"/>
          <c:max val="100"/>
          <c:min val="0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665938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'Static relative impacts'!$B$31</c:f>
              <c:strCache>
                <c:ptCount val="1"/>
                <c:pt idx="0">
                  <c:v>12500h replacement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'Static relative impacts'!$A$32:$A$49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'Static relative impacts'!$B$32:$B$49</c:f>
              <c:numCache>
                <c:formatCode>0</c:formatCode>
                <c:ptCount val="18"/>
                <c:pt idx="0">
                  <c:v>5.5556959857639043</c:v>
                </c:pt>
                <c:pt idx="1">
                  <c:v>4.6718696695072737</c:v>
                </c:pt>
                <c:pt idx="2">
                  <c:v>7.3801741160172156</c:v>
                </c:pt>
                <c:pt idx="3">
                  <c:v>10.283933117054538</c:v>
                </c:pt>
                <c:pt idx="4">
                  <c:v>12.475685144296222</c:v>
                </c:pt>
                <c:pt idx="5">
                  <c:v>14.403364969866097</c:v>
                </c:pt>
                <c:pt idx="6">
                  <c:v>8.6720148700833732</c:v>
                </c:pt>
                <c:pt idx="7">
                  <c:v>9.0381593004170426</c:v>
                </c:pt>
                <c:pt idx="8">
                  <c:v>11.934578796167436</c:v>
                </c:pt>
                <c:pt idx="9">
                  <c:v>12.568313863833822</c:v>
                </c:pt>
                <c:pt idx="10">
                  <c:v>12.604738784117657</c:v>
                </c:pt>
                <c:pt idx="11">
                  <c:v>1.384527611164259</c:v>
                </c:pt>
                <c:pt idx="12">
                  <c:v>3.3902868013397693</c:v>
                </c:pt>
                <c:pt idx="13">
                  <c:v>11.580262278649847</c:v>
                </c:pt>
                <c:pt idx="14">
                  <c:v>7.8603559978172939</c:v>
                </c:pt>
                <c:pt idx="15">
                  <c:v>3.3127579612266089</c:v>
                </c:pt>
                <c:pt idx="16">
                  <c:v>17.825477967967004</c:v>
                </c:pt>
                <c:pt idx="17">
                  <c:v>5.0787131945166522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7-445C-9DCA-91A093E5FBD6}"/>
            </c:ext>
          </c:extLst>
        </c:ser>
        <c:ser>
          <c:idx val="1"/>
          <c:order val="1"/>
          <c:tx>
            <c:strRef>
              <c:f>'Static relative impacts'!$C$31</c:f>
              <c:strCache>
                <c:ptCount val="1"/>
                <c:pt idx="0">
                  <c:v>5000h replacement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'Static relative impacts'!$A$32:$A$49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'Static relative impacts'!$C$32:$C$49</c:f>
              <c:numCache>
                <c:formatCode>0</c:formatCode>
                <c:ptCount val="18"/>
                <c:pt idx="0">
                  <c:v>22.222786371976582</c:v>
                </c:pt>
                <c:pt idx="1">
                  <c:v>18.687481515117227</c:v>
                </c:pt>
                <c:pt idx="2">
                  <c:v>29.520698469142246</c:v>
                </c:pt>
                <c:pt idx="3">
                  <c:v>41.135732531498739</c:v>
                </c:pt>
                <c:pt idx="4">
                  <c:v>49.902741134395811</c:v>
                </c:pt>
                <c:pt idx="5">
                  <c:v>57.61345957359017</c:v>
                </c:pt>
                <c:pt idx="6">
                  <c:v>34.688061396480663</c:v>
                </c:pt>
                <c:pt idx="7">
                  <c:v>36.152639020553913</c:v>
                </c:pt>
                <c:pt idx="8">
                  <c:v>47.738316332341746</c:v>
                </c:pt>
                <c:pt idx="9">
                  <c:v>50.273255418388061</c:v>
                </c:pt>
                <c:pt idx="10">
                  <c:v>50.418955121859192</c:v>
                </c:pt>
                <c:pt idx="11">
                  <c:v>5.5381143468126766</c:v>
                </c:pt>
                <c:pt idx="12">
                  <c:v>13.561150354174828</c:v>
                </c:pt>
                <c:pt idx="13">
                  <c:v>46.321050864394529</c:v>
                </c:pt>
                <c:pt idx="14">
                  <c:v>31.441426796844624</c:v>
                </c:pt>
                <c:pt idx="15">
                  <c:v>13.251034072259841</c:v>
                </c:pt>
                <c:pt idx="16">
                  <c:v>71.301911839220651</c:v>
                </c:pt>
                <c:pt idx="17">
                  <c:v>20.314855824320389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C7-445C-9DCA-91A093E5F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791112"/>
        <c:axId val="482790128"/>
      </c:barChart>
      <c:catAx>
        <c:axId val="482791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90128"/>
        <c:crosses val="autoZero"/>
        <c:auto val="1"/>
        <c:lblAlgn val="ctr"/>
        <c:lblOffset val="100"/>
        <c:noMultiLvlLbl val="0"/>
      </c:catAx>
      <c:valAx>
        <c:axId val="48279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% impact</a:t>
                </a:r>
                <a:r>
                  <a:rPr lang="sv-SE" baseline="0"/>
                  <a:t> compared to no replacement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1.8895776217471041E-2"/>
              <c:y val="5.35262961819820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91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'Static relative impacts'!$B$8</c:f>
              <c:strCache>
                <c:ptCount val="1"/>
                <c:pt idx="0">
                  <c:v>2012 lamp (12500h, EU avg) static</c:v>
                </c:pt>
              </c:strCache>
            </c:strRef>
          </c:tx>
          <c:invertIfNegative val="0"/>
          <c:cat>
            <c:strRef>
              <c:f>'Static relative impacts'!$A$9:$A$26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'Static relative impacts'!$B$9:$B$26</c:f>
              <c:numCache>
                <c:formatCode>0.####</c:formatCode>
                <c:ptCount val="18"/>
                <c:pt idx="0">
                  <c:v>83.332909613787322</c:v>
                </c:pt>
                <c:pt idx="1">
                  <c:v>85.984388154390047</c:v>
                </c:pt>
                <c:pt idx="2">
                  <c:v>77.859475646874969</c:v>
                </c:pt>
                <c:pt idx="3">
                  <c:v>69.148200585555799</c:v>
                </c:pt>
                <c:pt idx="4">
                  <c:v>62.572944009900411</c:v>
                </c:pt>
                <c:pt idx="5">
                  <c:v>56.789905396275927</c:v>
                </c:pt>
                <c:pt idx="6">
                  <c:v>73.98395347360271</c:v>
                </c:pt>
                <c:pt idx="7">
                  <c:v>72.88552027986313</c:v>
                </c:pt>
                <c:pt idx="8">
                  <c:v>64.19626246382569</c:v>
                </c:pt>
                <c:pt idx="9" formatCode="0.###">
                  <c:v>62.295058445445761</c:v>
                </c:pt>
                <c:pt idx="10">
                  <c:v>62.185783662258466</c:v>
                </c:pt>
                <c:pt idx="11">
                  <c:v>95.846413264351582</c:v>
                </c:pt>
                <c:pt idx="12">
                  <c:v>89.829136447164942</c:v>
                </c:pt>
                <c:pt idx="13">
                  <c:v>65.259211414255319</c:v>
                </c:pt>
                <c:pt idx="14">
                  <c:v>76.41892920097267</c:v>
                </c:pt>
                <c:pt idx="15">
                  <c:v>90.061723888966768</c:v>
                </c:pt>
                <c:pt idx="16">
                  <c:v>46.52356612874636</c:v>
                </c:pt>
                <c:pt idx="17">
                  <c:v>84.763857370196263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7-43EC-BD3D-053BEC31C290}"/>
            </c:ext>
          </c:extLst>
        </c:ser>
        <c:ser>
          <c:idx val="1"/>
          <c:order val="1"/>
          <c:tx>
            <c:strRef>
              <c:f>'Static relative impacts'!$C$8</c:f>
              <c:strCache>
                <c:ptCount val="1"/>
                <c:pt idx="0">
                  <c:v>2012 lamp (25000h, EU avg) static</c:v>
                </c:pt>
              </c:strCache>
            </c:strRef>
          </c:tx>
          <c:invertIfNegative val="0"/>
          <c:cat>
            <c:strRef>
              <c:f>'Static relative impacts'!$A$9:$A$26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'Static relative impacts'!$C$9:$C$26</c:f>
              <c:numCache>
                <c:formatCode>0.####</c:formatCode>
                <c:ptCount val="18"/>
                <c:pt idx="0">
                  <c:v>77.777213628023418</c:v>
                </c:pt>
                <c:pt idx="1">
                  <c:v>81.312518484882773</c:v>
                </c:pt>
                <c:pt idx="2">
                  <c:v>70.479301530857754</c:v>
                </c:pt>
                <c:pt idx="3">
                  <c:v>58.864267468501261</c:v>
                </c:pt>
                <c:pt idx="4">
                  <c:v>50.097258865604189</c:v>
                </c:pt>
                <c:pt idx="5">
                  <c:v>42.38654042640983</c:v>
                </c:pt>
                <c:pt idx="6">
                  <c:v>65.311938603519337</c:v>
                </c:pt>
                <c:pt idx="7">
                  <c:v>63.847360979446087</c:v>
                </c:pt>
                <c:pt idx="8">
                  <c:v>52.261683667658254</c:v>
                </c:pt>
                <c:pt idx="9">
                  <c:v>49.726744581611939</c:v>
                </c:pt>
                <c:pt idx="10" formatCode="0.###">
                  <c:v>49.581044878140808</c:v>
                </c:pt>
                <c:pt idx="11">
                  <c:v>94.461885653187323</c:v>
                </c:pt>
                <c:pt idx="12">
                  <c:v>86.438849645825172</c:v>
                </c:pt>
                <c:pt idx="13">
                  <c:v>53.678949135605471</c:v>
                </c:pt>
                <c:pt idx="14">
                  <c:v>68.558573203155376</c:v>
                </c:pt>
                <c:pt idx="15">
                  <c:v>86.748965927740159</c:v>
                </c:pt>
                <c:pt idx="16" formatCode="0.###">
                  <c:v>28.698088160779356</c:v>
                </c:pt>
                <c:pt idx="17">
                  <c:v>79.685144175679611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7-43EC-BD3D-053BEC31C290}"/>
            </c:ext>
          </c:extLst>
        </c:ser>
        <c:ser>
          <c:idx val="2"/>
          <c:order val="2"/>
          <c:tx>
            <c:strRef>
              <c:f>'Static relative impacts'!$D$8</c:f>
              <c:strCache>
                <c:ptCount val="1"/>
                <c:pt idx="0">
                  <c:v>2012 lamp (5000h, EU avg) static</c:v>
                </c:pt>
              </c:strCache>
            </c:strRef>
          </c:tx>
          <c:invertIfNegative val="0"/>
          <c:cat>
            <c:strRef>
              <c:f>'Static relative impacts'!$A$9:$A$26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'Static relative impacts'!$D$9:$D$26</c:f>
              <c:numCache>
                <c:formatCode>#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57-43EC-BD3D-053BEC31C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474696"/>
        <c:axId val="483434824"/>
      </c:barChart>
      <c:catAx>
        <c:axId val="630474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Comparing 1 p '2012 lamp (12500h, EU avg) static', 1 p '2012 lamp (25000h, EU avg) static' and 1 p '2012 lamp (5000h, EU avg) static';</a:t>
                </a:r>
              </a:p>
              <a:p>
                <a:pPr>
                  <a:defRPr/>
                </a:pPr>
                <a:r>
                  <a:rPr lang="sv-SE"/>
                  <a:t>Method: ReCiPe Midpoint (H) V1.13 / Europe Recipe H / Characterization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83434824"/>
        <c:crosses val="autoZero"/>
        <c:auto val="1"/>
        <c:lblAlgn val="ctr"/>
        <c:lblOffset val="100"/>
        <c:noMultiLvlLbl val="0"/>
      </c:catAx>
      <c:valAx>
        <c:axId val="483434824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%</a:t>
                </a:r>
              </a:p>
            </c:rich>
          </c:tx>
          <c:layout/>
          <c:overlay val="0"/>
        </c:title>
        <c:numFmt formatCode="0.####" sourceLinked="1"/>
        <c:majorTickMark val="out"/>
        <c:minorTickMark val="none"/>
        <c:tickLblPos val="nextTo"/>
        <c:crossAx val="630474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'IP relative impacts'!$B$46</c:f>
              <c:strCache>
                <c:ptCount val="1"/>
                <c:pt idx="0">
                  <c:v>Replacement 1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'IP relative impacts'!$A$47:$A$64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impacts'!$B$47:$B$64</c:f>
              <c:numCache>
                <c:formatCode>General</c:formatCode>
                <c:ptCount val="18"/>
                <c:pt idx="0">
                  <c:v>-18.357727290886999</c:v>
                </c:pt>
                <c:pt idx="1">
                  <c:v>-21.218848767452869</c:v>
                </c:pt>
                <c:pt idx="2">
                  <c:v>-16.26951447839204</c:v>
                </c:pt>
                <c:pt idx="3">
                  <c:v>-11.98014662237658</c:v>
                </c:pt>
                <c:pt idx="4">
                  <c:v>-6.6341511244454807</c:v>
                </c:pt>
                <c:pt idx="5">
                  <c:v>0.34937939925977446</c:v>
                </c:pt>
                <c:pt idx="6">
                  <c:v>-13.755518419833152</c:v>
                </c:pt>
                <c:pt idx="7">
                  <c:v>-13.10433164565643</c:v>
                </c:pt>
                <c:pt idx="8">
                  <c:v>-4.9717568070605722</c:v>
                </c:pt>
                <c:pt idx="9">
                  <c:v>-5.8570221636964419</c:v>
                </c:pt>
                <c:pt idx="10">
                  <c:v>-6.138762463155544</c:v>
                </c:pt>
                <c:pt idx="11">
                  <c:v>-24.351617508241148</c:v>
                </c:pt>
                <c:pt idx="12">
                  <c:v>-22.475783324841146</c:v>
                </c:pt>
                <c:pt idx="13">
                  <c:v>-7.1973571391466038</c:v>
                </c:pt>
                <c:pt idx="14">
                  <c:v>-16.40799212254403</c:v>
                </c:pt>
                <c:pt idx="15">
                  <c:v>-22.441829281766601</c:v>
                </c:pt>
                <c:pt idx="16">
                  <c:v>14.215066927229728</c:v>
                </c:pt>
                <c:pt idx="17">
                  <c:v>-19.279582941473123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E-47DA-BE56-9767970DD78D}"/>
            </c:ext>
          </c:extLst>
        </c:ser>
        <c:ser>
          <c:idx val="1"/>
          <c:order val="1"/>
          <c:tx>
            <c:strRef>
              <c:f>'IP relative impacts'!$C$46</c:f>
              <c:strCache>
                <c:ptCount val="1"/>
                <c:pt idx="0">
                  <c:v>Replacement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'IP relative impacts'!$A$47:$A$64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impacts'!$C$47:$C$64</c:f>
              <c:numCache>
                <c:formatCode>General</c:formatCode>
                <c:ptCount val="18"/>
                <c:pt idx="0">
                  <c:v>-14.653951117725995</c:v>
                </c:pt>
                <c:pt idx="1">
                  <c:v>-16.317870556808927</c:v>
                </c:pt>
                <c:pt idx="2">
                  <c:v>-13.271435482842691</c:v>
                </c:pt>
                <c:pt idx="3">
                  <c:v>-10.484687227279764</c:v>
                </c:pt>
                <c:pt idx="4">
                  <c:v>-5.2192705034733109</c:v>
                </c:pt>
                <c:pt idx="5">
                  <c:v>-2.2916717270625924</c:v>
                </c:pt>
                <c:pt idx="6">
                  <c:v>-11.516829162226969</c:v>
                </c:pt>
                <c:pt idx="7">
                  <c:v>-11.171857052710735</c:v>
                </c:pt>
                <c:pt idx="8">
                  <c:v>31.063207584254172</c:v>
                </c:pt>
                <c:pt idx="9">
                  <c:v>-6.2476534183746395</c:v>
                </c:pt>
                <c:pt idx="10">
                  <c:v>-6.422164837608122</c:v>
                </c:pt>
                <c:pt idx="11">
                  <c:v>-18.434585703061202</c:v>
                </c:pt>
                <c:pt idx="12">
                  <c:v>-17.069152824878174</c:v>
                </c:pt>
                <c:pt idx="13">
                  <c:v>-7.6300297162009798</c:v>
                </c:pt>
                <c:pt idx="14">
                  <c:v>-12.991919731641232</c:v>
                </c:pt>
                <c:pt idx="15">
                  <c:v>-17.110145981904452</c:v>
                </c:pt>
                <c:pt idx="16">
                  <c:v>8.668474266126708</c:v>
                </c:pt>
                <c:pt idx="17">
                  <c:v>-15.193694702807278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E-47DA-BE56-9767970DD78D}"/>
            </c:ext>
          </c:extLst>
        </c:ser>
        <c:ser>
          <c:idx val="2"/>
          <c:order val="2"/>
          <c:tx>
            <c:strRef>
              <c:f>'IP relative impacts'!$D$46</c:f>
              <c:strCache>
                <c:ptCount val="1"/>
                <c:pt idx="0">
                  <c:v>Replacement 3</c:v>
                </c:pt>
              </c:strCache>
            </c:strRef>
          </c:tx>
          <c:spPr>
            <a:pattFill prst="pct60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'IP relative impacts'!$A$47:$A$64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impacts'!$D$47:$D$64</c:f>
              <c:numCache>
                <c:formatCode>General</c:formatCode>
                <c:ptCount val="18"/>
                <c:pt idx="0">
                  <c:v>-6.3965049499169879</c:v>
                </c:pt>
                <c:pt idx="1">
                  <c:v>-7.685733897652085</c:v>
                </c:pt>
                <c:pt idx="2">
                  <c:v>-5.3949776443173221</c:v>
                </c:pt>
                <c:pt idx="3">
                  <c:v>-2.064538210779304</c:v>
                </c:pt>
                <c:pt idx="4">
                  <c:v>-0.99169671672737536</c:v>
                </c:pt>
                <c:pt idx="5">
                  <c:v>4.6295290461121681</c:v>
                </c:pt>
                <c:pt idx="6">
                  <c:v>-4.1094762743075393</c:v>
                </c:pt>
                <c:pt idx="7">
                  <c:v>-3.8601066696732289</c:v>
                </c:pt>
                <c:pt idx="8">
                  <c:v>35.159557028318531</c:v>
                </c:pt>
                <c:pt idx="9">
                  <c:v>1.1746138277241442</c:v>
                </c:pt>
                <c:pt idx="10">
                  <c:v>1.0633541964722895</c:v>
                </c:pt>
                <c:pt idx="11">
                  <c:v>-9.0631113124311327</c:v>
                </c:pt>
                <c:pt idx="12">
                  <c:v>-8.1701767829274843</c:v>
                </c:pt>
                <c:pt idx="13">
                  <c:v>-0.60712163339266567</c:v>
                </c:pt>
                <c:pt idx="14">
                  <c:v>-5.1444639503303904</c:v>
                </c:pt>
                <c:pt idx="15">
                  <c:v>-8.1826265229380368</c:v>
                </c:pt>
                <c:pt idx="16">
                  <c:v>9.3675443517644084</c:v>
                </c:pt>
                <c:pt idx="17">
                  <c:v>-6.7634207597674845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E-47DA-BE56-9767970DD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175688"/>
        <c:axId val="576176672"/>
      </c:barChart>
      <c:catAx>
        <c:axId val="57617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176672"/>
        <c:crosses val="autoZero"/>
        <c:auto val="1"/>
        <c:lblAlgn val="ctr"/>
        <c:lblOffset val="100"/>
        <c:noMultiLvlLbl val="0"/>
      </c:catAx>
      <c:valAx>
        <c:axId val="57617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% impact</a:t>
                </a:r>
                <a:r>
                  <a:rPr lang="sv-SE" baseline="0"/>
                  <a:t> of no replacement </a:t>
                </a:r>
                <a:endParaRPr lang="sv-S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17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'IP relative impacts'!$B$8</c:f>
              <c:strCache>
                <c:ptCount val="1"/>
                <c:pt idx="0">
                  <c:v>2012 Product 0 (EU avg)</c:v>
                </c:pt>
              </c:strCache>
            </c:strRef>
          </c:tx>
          <c:invertIfNegative val="0"/>
          <c:cat>
            <c:strRef>
              <c:f>'IP relative impacts'!$A$9:$A$26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impacts'!$B$9:$B$26</c:f>
              <c:numCache>
                <c:formatCode>#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 formatCode="0.####">
                  <c:v>95.370470953887832</c:v>
                </c:pt>
                <c:pt idx="6">
                  <c:v>100</c:v>
                </c:pt>
                <c:pt idx="7">
                  <c:v>100</c:v>
                </c:pt>
                <c:pt idx="8" formatCode="0.####">
                  <c:v>64.840442971681469</c:v>
                </c:pt>
                <c:pt idx="9" formatCode="0.####">
                  <c:v>98.825386172275856</c:v>
                </c:pt>
                <c:pt idx="10" formatCode="0.####">
                  <c:v>98.936645803527711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 formatCode="0.####">
                  <c:v>85.784933072770272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1-4B22-9C2B-FCA0AEC2941F}"/>
            </c:ext>
          </c:extLst>
        </c:ser>
        <c:ser>
          <c:idx val="1"/>
          <c:order val="1"/>
          <c:tx>
            <c:strRef>
              <c:f>'IP relative impacts'!$C$8</c:f>
              <c:strCache>
                <c:ptCount val="1"/>
                <c:pt idx="0">
                  <c:v>5000 hour replacement 1 (EU avg)</c:v>
                </c:pt>
              </c:strCache>
            </c:strRef>
          </c:tx>
          <c:invertIfNegative val="0"/>
          <c:cat>
            <c:strRef>
              <c:f>'IP relative impacts'!$A$9:$A$26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impacts'!$C$9:$C$26</c:f>
              <c:numCache>
                <c:formatCode>0.####</c:formatCode>
                <c:ptCount val="18"/>
                <c:pt idx="0">
                  <c:v>81.642272709113001</c:v>
                </c:pt>
                <c:pt idx="1">
                  <c:v>78.781151232547131</c:v>
                </c:pt>
                <c:pt idx="2">
                  <c:v>83.73048552160796</c:v>
                </c:pt>
                <c:pt idx="3">
                  <c:v>88.01985337762342</c:v>
                </c:pt>
                <c:pt idx="4">
                  <c:v>93.365848875554519</c:v>
                </c:pt>
                <c:pt idx="5">
                  <c:v>95.719850353147606</c:v>
                </c:pt>
                <c:pt idx="6">
                  <c:v>86.244481580166848</c:v>
                </c:pt>
                <c:pt idx="7">
                  <c:v>86.89566835434357</c:v>
                </c:pt>
                <c:pt idx="8">
                  <c:v>59.868686164620897</c:v>
                </c:pt>
                <c:pt idx="9">
                  <c:v>92.968364008579414</c:v>
                </c:pt>
                <c:pt idx="10">
                  <c:v>92.797883340372167</c:v>
                </c:pt>
                <c:pt idx="11">
                  <c:v>75.648382491758852</c:v>
                </c:pt>
                <c:pt idx="12">
                  <c:v>77.524216675158854</c:v>
                </c:pt>
                <c:pt idx="13">
                  <c:v>92.802642860853396</c:v>
                </c:pt>
                <c:pt idx="14" formatCode="0.###">
                  <c:v>83.59200787745597</c:v>
                </c:pt>
                <c:pt idx="15">
                  <c:v>77.558170718233399</c:v>
                </c:pt>
                <c:pt idx="16" formatCode="#">
                  <c:v>100</c:v>
                </c:pt>
                <c:pt idx="17">
                  <c:v>80.720417058526877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1-4B22-9C2B-FCA0AEC2941F}"/>
            </c:ext>
          </c:extLst>
        </c:ser>
        <c:ser>
          <c:idx val="2"/>
          <c:order val="2"/>
          <c:tx>
            <c:strRef>
              <c:f>'IP relative impacts'!$E$8</c:f>
              <c:strCache>
                <c:ptCount val="1"/>
                <c:pt idx="0">
                  <c:v>5000 hour replacement 2 (EU avg)</c:v>
                </c:pt>
              </c:strCache>
            </c:strRef>
          </c:tx>
          <c:invertIfNegative val="0"/>
          <c:cat>
            <c:strRef>
              <c:f>'IP relative impacts'!$A$9:$A$26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impacts'!$E$9:$E$26</c:f>
              <c:numCache>
                <c:formatCode>0.####</c:formatCode>
                <c:ptCount val="18"/>
                <c:pt idx="0" formatCode="0.###">
                  <c:v>85.346048882274005</c:v>
                </c:pt>
                <c:pt idx="1">
                  <c:v>83.682129443191073</c:v>
                </c:pt>
                <c:pt idx="2">
                  <c:v>86.728564517157309</c:v>
                </c:pt>
                <c:pt idx="3">
                  <c:v>89.515312772720236</c:v>
                </c:pt>
                <c:pt idx="4">
                  <c:v>94.780729496526689</c:v>
                </c:pt>
                <c:pt idx="5">
                  <c:v>93.07879922682524</c:v>
                </c:pt>
                <c:pt idx="6">
                  <c:v>88.483170837773031</c:v>
                </c:pt>
                <c:pt idx="7">
                  <c:v>88.828142947289265</c:v>
                </c:pt>
                <c:pt idx="8">
                  <c:v>95.903650555935641</c:v>
                </c:pt>
                <c:pt idx="9">
                  <c:v>92.577732753901216</c:v>
                </c:pt>
                <c:pt idx="10">
                  <c:v>92.514480965919589</c:v>
                </c:pt>
                <c:pt idx="11">
                  <c:v>81.565414296938798</c:v>
                </c:pt>
                <c:pt idx="12">
                  <c:v>82.930847175121826</c:v>
                </c:pt>
                <c:pt idx="13">
                  <c:v>92.36997028379902</c:v>
                </c:pt>
                <c:pt idx="14" formatCode="0.###">
                  <c:v>87.008080268358768</c:v>
                </c:pt>
                <c:pt idx="15">
                  <c:v>82.889854018095548</c:v>
                </c:pt>
                <c:pt idx="16">
                  <c:v>94.45340733889698</c:v>
                </c:pt>
                <c:pt idx="17">
                  <c:v>84.806305297192722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1-4B22-9C2B-FCA0AEC2941F}"/>
            </c:ext>
          </c:extLst>
        </c:ser>
        <c:ser>
          <c:idx val="3"/>
          <c:order val="3"/>
          <c:tx>
            <c:strRef>
              <c:f>'IP relative impacts'!$G$8</c:f>
              <c:strCache>
                <c:ptCount val="1"/>
                <c:pt idx="0">
                  <c:v>5000 hour replacement 3 (EU avg)</c:v>
                </c:pt>
              </c:strCache>
            </c:strRef>
          </c:tx>
          <c:invertIfNegative val="0"/>
          <c:cat>
            <c:strRef>
              <c:f>'IP relative impacts'!$A$9:$A$26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impacts'!$G$9:$G$26</c:f>
              <c:numCache>
                <c:formatCode>0.####</c:formatCode>
                <c:ptCount val="18"/>
                <c:pt idx="0">
                  <c:v>93.603495050083012</c:v>
                </c:pt>
                <c:pt idx="1">
                  <c:v>92.314266102347915</c:v>
                </c:pt>
                <c:pt idx="2" formatCode="0.###">
                  <c:v>94.605022355682678</c:v>
                </c:pt>
                <c:pt idx="3">
                  <c:v>97.935461789220696</c:v>
                </c:pt>
                <c:pt idx="4">
                  <c:v>99.008303283272625</c:v>
                </c:pt>
                <c:pt idx="5" formatCode="#">
                  <c:v>100</c:v>
                </c:pt>
                <c:pt idx="6">
                  <c:v>95.890523725692461</c:v>
                </c:pt>
                <c:pt idx="7">
                  <c:v>96.139893330326771</c:v>
                </c:pt>
                <c:pt idx="8" formatCode="#">
                  <c:v>100</c:v>
                </c:pt>
                <c:pt idx="9" formatCode="#">
                  <c:v>100</c:v>
                </c:pt>
                <c:pt idx="10" formatCode="#">
                  <c:v>100</c:v>
                </c:pt>
                <c:pt idx="11">
                  <c:v>90.936888687568867</c:v>
                </c:pt>
                <c:pt idx="12">
                  <c:v>91.829823217072516</c:v>
                </c:pt>
                <c:pt idx="13">
                  <c:v>99.392878366607334</c:v>
                </c:pt>
                <c:pt idx="14">
                  <c:v>94.85553604966961</c:v>
                </c:pt>
                <c:pt idx="15">
                  <c:v>91.817373477061963</c:v>
                </c:pt>
                <c:pt idx="16">
                  <c:v>95.15247742453468</c:v>
                </c:pt>
                <c:pt idx="17">
                  <c:v>93.236579240232516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D1-4B22-9C2B-FCA0AEC29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57920"/>
        <c:axId val="484853000"/>
      </c:barChart>
      <c:catAx>
        <c:axId val="48485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4853000"/>
        <c:crosses val="autoZero"/>
        <c:auto val="1"/>
        <c:lblAlgn val="ctr"/>
        <c:lblOffset val="100"/>
        <c:noMultiLvlLbl val="0"/>
      </c:catAx>
      <c:valAx>
        <c:axId val="484853000"/>
        <c:scaling>
          <c:orientation val="minMax"/>
          <c:max val="100"/>
        </c:scaling>
        <c:delete val="0"/>
        <c:axPos val="l"/>
        <c:majorGridlines/>
        <c:numFmt formatCode="#" sourceLinked="1"/>
        <c:majorTickMark val="out"/>
        <c:minorTickMark val="none"/>
        <c:tickLblPos val="nextTo"/>
        <c:crossAx val="484857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'IP relative impacts'!$B$8</c:f>
              <c:strCache>
                <c:ptCount val="1"/>
                <c:pt idx="0">
                  <c:v>2012 Product 0 (EU avg)</c:v>
                </c:pt>
              </c:strCache>
            </c:strRef>
          </c:tx>
          <c:invertIfNegative val="0"/>
          <c:cat>
            <c:strRef>
              <c:f>'IP relative impacts'!$A$9:$A$26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impacts'!$B$9:$B$26</c:f>
              <c:numCache>
                <c:formatCode>#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 formatCode="0.####">
                  <c:v>95.370470953887832</c:v>
                </c:pt>
                <c:pt idx="6">
                  <c:v>100</c:v>
                </c:pt>
                <c:pt idx="7">
                  <c:v>100</c:v>
                </c:pt>
                <c:pt idx="8" formatCode="0.####">
                  <c:v>64.840442971681469</c:v>
                </c:pt>
                <c:pt idx="9" formatCode="0.####">
                  <c:v>98.825386172275856</c:v>
                </c:pt>
                <c:pt idx="10" formatCode="0.####">
                  <c:v>98.936645803527711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 formatCode="0.####">
                  <c:v>85.784933072770272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6-4196-8BBA-F8C58758D1E2}"/>
            </c:ext>
          </c:extLst>
        </c:ser>
        <c:ser>
          <c:idx val="1"/>
          <c:order val="1"/>
          <c:tx>
            <c:strRef>
              <c:f>'IP relative impacts'!$C$8</c:f>
              <c:strCache>
                <c:ptCount val="1"/>
                <c:pt idx="0">
                  <c:v>5000 hour replacement 1 (EU avg)</c:v>
                </c:pt>
              </c:strCache>
            </c:strRef>
          </c:tx>
          <c:invertIfNegative val="0"/>
          <c:cat>
            <c:strRef>
              <c:f>'IP relative impacts'!$A$9:$A$26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impacts'!$C$9:$C$26</c:f>
              <c:numCache>
                <c:formatCode>0.####</c:formatCode>
                <c:ptCount val="18"/>
                <c:pt idx="0">
                  <c:v>81.642272709113001</c:v>
                </c:pt>
                <c:pt idx="1">
                  <c:v>78.781151232547131</c:v>
                </c:pt>
                <c:pt idx="2">
                  <c:v>83.73048552160796</c:v>
                </c:pt>
                <c:pt idx="3">
                  <c:v>88.01985337762342</c:v>
                </c:pt>
                <c:pt idx="4">
                  <c:v>93.365848875554519</c:v>
                </c:pt>
                <c:pt idx="5">
                  <c:v>95.719850353147606</c:v>
                </c:pt>
                <c:pt idx="6">
                  <c:v>86.244481580166848</c:v>
                </c:pt>
                <c:pt idx="7">
                  <c:v>86.89566835434357</c:v>
                </c:pt>
                <c:pt idx="8">
                  <c:v>59.868686164620897</c:v>
                </c:pt>
                <c:pt idx="9">
                  <c:v>92.968364008579414</c:v>
                </c:pt>
                <c:pt idx="10">
                  <c:v>92.797883340372167</c:v>
                </c:pt>
                <c:pt idx="11">
                  <c:v>75.648382491758852</c:v>
                </c:pt>
                <c:pt idx="12">
                  <c:v>77.524216675158854</c:v>
                </c:pt>
                <c:pt idx="13">
                  <c:v>92.802642860853396</c:v>
                </c:pt>
                <c:pt idx="14" formatCode="0.###">
                  <c:v>83.59200787745597</c:v>
                </c:pt>
                <c:pt idx="15">
                  <c:v>77.558170718233399</c:v>
                </c:pt>
                <c:pt idx="16" formatCode="#">
                  <c:v>100</c:v>
                </c:pt>
                <c:pt idx="17">
                  <c:v>80.720417058526877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6-4196-8BBA-F8C58758D1E2}"/>
            </c:ext>
          </c:extLst>
        </c:ser>
        <c:ser>
          <c:idx val="2"/>
          <c:order val="2"/>
          <c:tx>
            <c:strRef>
              <c:f>'IP relative impacts'!$E$8</c:f>
              <c:strCache>
                <c:ptCount val="1"/>
                <c:pt idx="0">
                  <c:v>5000 hour replacement 2 (EU avg)</c:v>
                </c:pt>
              </c:strCache>
            </c:strRef>
          </c:tx>
          <c:invertIfNegative val="0"/>
          <c:cat>
            <c:strRef>
              <c:f>'IP relative impacts'!$A$9:$A$26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impacts'!$E$9:$E$26</c:f>
              <c:numCache>
                <c:formatCode>0.####</c:formatCode>
                <c:ptCount val="18"/>
                <c:pt idx="0" formatCode="0.###">
                  <c:v>85.346048882274005</c:v>
                </c:pt>
                <c:pt idx="1">
                  <c:v>83.682129443191073</c:v>
                </c:pt>
                <c:pt idx="2">
                  <c:v>86.728564517157309</c:v>
                </c:pt>
                <c:pt idx="3">
                  <c:v>89.515312772720236</c:v>
                </c:pt>
                <c:pt idx="4">
                  <c:v>94.780729496526689</c:v>
                </c:pt>
                <c:pt idx="5">
                  <c:v>93.07879922682524</c:v>
                </c:pt>
                <c:pt idx="6">
                  <c:v>88.483170837773031</c:v>
                </c:pt>
                <c:pt idx="7">
                  <c:v>88.828142947289265</c:v>
                </c:pt>
                <c:pt idx="8">
                  <c:v>95.903650555935641</c:v>
                </c:pt>
                <c:pt idx="9">
                  <c:v>92.577732753901216</c:v>
                </c:pt>
                <c:pt idx="10">
                  <c:v>92.514480965919589</c:v>
                </c:pt>
                <c:pt idx="11">
                  <c:v>81.565414296938798</c:v>
                </c:pt>
                <c:pt idx="12">
                  <c:v>82.930847175121826</c:v>
                </c:pt>
                <c:pt idx="13">
                  <c:v>92.36997028379902</c:v>
                </c:pt>
                <c:pt idx="14" formatCode="0.###">
                  <c:v>87.008080268358768</c:v>
                </c:pt>
                <c:pt idx="15">
                  <c:v>82.889854018095548</c:v>
                </c:pt>
                <c:pt idx="16">
                  <c:v>94.45340733889698</c:v>
                </c:pt>
                <c:pt idx="17">
                  <c:v>84.806305297192722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6-4196-8BBA-F8C58758D1E2}"/>
            </c:ext>
          </c:extLst>
        </c:ser>
        <c:ser>
          <c:idx val="3"/>
          <c:order val="3"/>
          <c:tx>
            <c:strRef>
              <c:f>'IP relative impacts'!$G$8</c:f>
              <c:strCache>
                <c:ptCount val="1"/>
                <c:pt idx="0">
                  <c:v>5000 hour replacement 3 (EU avg)</c:v>
                </c:pt>
              </c:strCache>
            </c:strRef>
          </c:tx>
          <c:invertIfNegative val="0"/>
          <c:cat>
            <c:strRef>
              <c:f>'IP relative impacts'!$A$9:$A$26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impacts'!$G$9:$G$26</c:f>
              <c:numCache>
                <c:formatCode>0.####</c:formatCode>
                <c:ptCount val="18"/>
                <c:pt idx="0">
                  <c:v>93.603495050083012</c:v>
                </c:pt>
                <c:pt idx="1">
                  <c:v>92.314266102347915</c:v>
                </c:pt>
                <c:pt idx="2" formatCode="0.###">
                  <c:v>94.605022355682678</c:v>
                </c:pt>
                <c:pt idx="3">
                  <c:v>97.935461789220696</c:v>
                </c:pt>
                <c:pt idx="4">
                  <c:v>99.008303283272625</c:v>
                </c:pt>
                <c:pt idx="5" formatCode="#">
                  <c:v>100</c:v>
                </c:pt>
                <c:pt idx="6">
                  <c:v>95.890523725692461</c:v>
                </c:pt>
                <c:pt idx="7">
                  <c:v>96.139893330326771</c:v>
                </c:pt>
                <c:pt idx="8" formatCode="#">
                  <c:v>100</c:v>
                </c:pt>
                <c:pt idx="9" formatCode="#">
                  <c:v>100</c:v>
                </c:pt>
                <c:pt idx="10" formatCode="#">
                  <c:v>100</c:v>
                </c:pt>
                <c:pt idx="11">
                  <c:v>90.936888687568867</c:v>
                </c:pt>
                <c:pt idx="12">
                  <c:v>91.829823217072516</c:v>
                </c:pt>
                <c:pt idx="13">
                  <c:v>99.392878366607334</c:v>
                </c:pt>
                <c:pt idx="14">
                  <c:v>94.85553604966961</c:v>
                </c:pt>
                <c:pt idx="15">
                  <c:v>91.817373477061963</c:v>
                </c:pt>
                <c:pt idx="16">
                  <c:v>95.15247742453468</c:v>
                </c:pt>
                <c:pt idx="17">
                  <c:v>93.236579240232516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46-4196-8BBA-F8C58758D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57920"/>
        <c:axId val="484853000"/>
      </c:barChart>
      <c:catAx>
        <c:axId val="48485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4853000"/>
        <c:crosses val="autoZero"/>
        <c:auto val="1"/>
        <c:lblAlgn val="ctr"/>
        <c:lblOffset val="100"/>
        <c:noMultiLvlLbl val="0"/>
      </c:catAx>
      <c:valAx>
        <c:axId val="484853000"/>
        <c:scaling>
          <c:orientation val="minMax"/>
          <c:max val="100"/>
        </c:scaling>
        <c:delete val="0"/>
        <c:axPos val="l"/>
        <c:majorGridlines/>
        <c:numFmt formatCode="#" sourceLinked="1"/>
        <c:majorTickMark val="out"/>
        <c:minorTickMark val="none"/>
        <c:tickLblPos val="nextTo"/>
        <c:crossAx val="484857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'IP relative impacts'!$B$46</c:f>
              <c:strCache>
                <c:ptCount val="1"/>
                <c:pt idx="0">
                  <c:v>Replacement 1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'IP relative impacts'!$A$47:$A$64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impacts'!$B$47:$B$64</c:f>
              <c:numCache>
                <c:formatCode>General</c:formatCode>
                <c:ptCount val="18"/>
                <c:pt idx="0">
                  <c:v>-18.357727290886999</c:v>
                </c:pt>
                <c:pt idx="1">
                  <c:v>-21.218848767452869</c:v>
                </c:pt>
                <c:pt idx="2">
                  <c:v>-16.26951447839204</c:v>
                </c:pt>
                <c:pt idx="3">
                  <c:v>-11.98014662237658</c:v>
                </c:pt>
                <c:pt idx="4">
                  <c:v>-6.6341511244454807</c:v>
                </c:pt>
                <c:pt idx="5">
                  <c:v>0.34937939925977446</c:v>
                </c:pt>
                <c:pt idx="6">
                  <c:v>-13.755518419833152</c:v>
                </c:pt>
                <c:pt idx="7">
                  <c:v>-13.10433164565643</c:v>
                </c:pt>
                <c:pt idx="8">
                  <c:v>-4.9717568070605722</c:v>
                </c:pt>
                <c:pt idx="9">
                  <c:v>-5.8570221636964419</c:v>
                </c:pt>
                <c:pt idx="10">
                  <c:v>-6.138762463155544</c:v>
                </c:pt>
                <c:pt idx="11">
                  <c:v>-24.351617508241148</c:v>
                </c:pt>
                <c:pt idx="12">
                  <c:v>-22.475783324841146</c:v>
                </c:pt>
                <c:pt idx="13">
                  <c:v>-7.1973571391466038</c:v>
                </c:pt>
                <c:pt idx="14">
                  <c:v>-16.40799212254403</c:v>
                </c:pt>
                <c:pt idx="15">
                  <c:v>-22.441829281766601</c:v>
                </c:pt>
                <c:pt idx="16">
                  <c:v>14.215066927229728</c:v>
                </c:pt>
                <c:pt idx="17">
                  <c:v>-19.279582941473123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5-4AD7-B8F5-A4DD51697177}"/>
            </c:ext>
          </c:extLst>
        </c:ser>
        <c:ser>
          <c:idx val="1"/>
          <c:order val="1"/>
          <c:tx>
            <c:strRef>
              <c:f>'IP relative impacts'!$C$46</c:f>
              <c:strCache>
                <c:ptCount val="1"/>
                <c:pt idx="0">
                  <c:v>Replacement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'IP relative impacts'!$A$47:$A$64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impacts'!$C$47:$C$64</c:f>
              <c:numCache>
                <c:formatCode>General</c:formatCode>
                <c:ptCount val="18"/>
                <c:pt idx="0">
                  <c:v>-14.653951117725995</c:v>
                </c:pt>
                <c:pt idx="1">
                  <c:v>-16.317870556808927</c:v>
                </c:pt>
                <c:pt idx="2">
                  <c:v>-13.271435482842691</c:v>
                </c:pt>
                <c:pt idx="3">
                  <c:v>-10.484687227279764</c:v>
                </c:pt>
                <c:pt idx="4">
                  <c:v>-5.2192705034733109</c:v>
                </c:pt>
                <c:pt idx="5">
                  <c:v>-2.2916717270625924</c:v>
                </c:pt>
                <c:pt idx="6">
                  <c:v>-11.516829162226969</c:v>
                </c:pt>
                <c:pt idx="7">
                  <c:v>-11.171857052710735</c:v>
                </c:pt>
                <c:pt idx="8">
                  <c:v>31.063207584254172</c:v>
                </c:pt>
                <c:pt idx="9">
                  <c:v>-6.2476534183746395</c:v>
                </c:pt>
                <c:pt idx="10">
                  <c:v>-6.422164837608122</c:v>
                </c:pt>
                <c:pt idx="11">
                  <c:v>-18.434585703061202</c:v>
                </c:pt>
                <c:pt idx="12">
                  <c:v>-17.069152824878174</c:v>
                </c:pt>
                <c:pt idx="13">
                  <c:v>-7.6300297162009798</c:v>
                </c:pt>
                <c:pt idx="14">
                  <c:v>-12.991919731641232</c:v>
                </c:pt>
                <c:pt idx="15">
                  <c:v>-17.110145981904452</c:v>
                </c:pt>
                <c:pt idx="16">
                  <c:v>8.668474266126708</c:v>
                </c:pt>
                <c:pt idx="17">
                  <c:v>-15.193694702807278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05-4AD7-B8F5-A4DD51697177}"/>
            </c:ext>
          </c:extLst>
        </c:ser>
        <c:ser>
          <c:idx val="2"/>
          <c:order val="2"/>
          <c:tx>
            <c:strRef>
              <c:f>'IP relative impacts'!$D$46</c:f>
              <c:strCache>
                <c:ptCount val="1"/>
                <c:pt idx="0">
                  <c:v>Replacement 3</c:v>
                </c:pt>
              </c:strCache>
            </c:strRef>
          </c:tx>
          <c:spPr>
            <a:pattFill prst="pct60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'IP relative impacts'!$A$47:$A$64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'IP relative impacts'!$D$47:$D$64</c:f>
              <c:numCache>
                <c:formatCode>General</c:formatCode>
                <c:ptCount val="18"/>
                <c:pt idx="0">
                  <c:v>-6.3965049499169879</c:v>
                </c:pt>
                <c:pt idx="1">
                  <c:v>-7.685733897652085</c:v>
                </c:pt>
                <c:pt idx="2">
                  <c:v>-5.3949776443173221</c:v>
                </c:pt>
                <c:pt idx="3">
                  <c:v>-2.064538210779304</c:v>
                </c:pt>
                <c:pt idx="4">
                  <c:v>-0.99169671672737536</c:v>
                </c:pt>
                <c:pt idx="5">
                  <c:v>4.6295290461121681</c:v>
                </c:pt>
                <c:pt idx="6">
                  <c:v>-4.1094762743075393</c:v>
                </c:pt>
                <c:pt idx="7">
                  <c:v>-3.8601066696732289</c:v>
                </c:pt>
                <c:pt idx="8">
                  <c:v>35.159557028318531</c:v>
                </c:pt>
                <c:pt idx="9">
                  <c:v>1.1746138277241442</c:v>
                </c:pt>
                <c:pt idx="10">
                  <c:v>1.0633541964722895</c:v>
                </c:pt>
                <c:pt idx="11">
                  <c:v>-9.0631113124311327</c:v>
                </c:pt>
                <c:pt idx="12">
                  <c:v>-8.1701767829274843</c:v>
                </c:pt>
                <c:pt idx="13">
                  <c:v>-0.60712163339266567</c:v>
                </c:pt>
                <c:pt idx="14">
                  <c:v>-5.1444639503303904</c:v>
                </c:pt>
                <c:pt idx="15">
                  <c:v>-8.1826265229380368</c:v>
                </c:pt>
                <c:pt idx="16">
                  <c:v>9.3675443517644084</c:v>
                </c:pt>
                <c:pt idx="17">
                  <c:v>-6.7634207597674845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05-4AD7-B8F5-A4DD51697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175688"/>
        <c:axId val="576176672"/>
      </c:barChart>
      <c:catAx>
        <c:axId val="57617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176672"/>
        <c:crosses val="autoZero"/>
        <c:auto val="1"/>
        <c:lblAlgn val="ctr"/>
        <c:lblOffset val="100"/>
        <c:noMultiLvlLbl val="0"/>
      </c:catAx>
      <c:valAx>
        <c:axId val="57617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baseline="0"/>
                  <a:t>% of 2012 LED lamp no replacement </a:t>
                </a:r>
                <a:endParaRPr lang="sv-S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17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'Improved product (EU) Scenario'!$S$68</c:f>
              <c:strCache>
                <c:ptCount val="1"/>
                <c:pt idx="0">
                  <c:v>2012 LED lamp no replacement</c:v>
                </c:pt>
              </c:strCache>
            </c:strRef>
          </c:tx>
          <c:invertIfNegative val="0"/>
          <c:cat>
            <c:strRef>
              <c:f>'Improved product (EU) Scenario'!$R$69:$R$86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'Improved product (EU) Scenario'!$S$69:$S$86</c:f>
              <c:numCache>
                <c:formatCode>0.####</c:formatCode>
                <c:ptCount val="18"/>
                <c:pt idx="0">
                  <c:v>2.4389528524500083E-2</c:v>
                </c:pt>
                <c:pt idx="1">
                  <c:v>5.3141888738414769E-4</c:v>
                </c:pt>
                <c:pt idx="2">
                  <c:v>2.0809305022808939E-2</c:v>
                </c:pt>
                <c:pt idx="3">
                  <c:v>0.59446665476421323</c:v>
                </c:pt>
                <c:pt idx="4">
                  <c:v>8.374042289430058E-3</c:v>
                </c:pt>
                <c:pt idx="5">
                  <c:v>0.45254643486167995</c:v>
                </c:pt>
                <c:pt idx="6">
                  <c:v>6.8868021762250407E-3</c:v>
                </c:pt>
                <c:pt idx="7">
                  <c:v>1.9682826708405592E-2</c:v>
                </c:pt>
                <c:pt idx="8">
                  <c:v>2.2583602863688358E-3</c:v>
                </c:pt>
                <c:pt idx="9">
                  <c:v>0.99051007329590235</c:v>
                </c:pt>
                <c:pt idx="10" formatCode="0.###">
                  <c:v>1.6360554533894451</c:v>
                </c:pt>
                <c:pt idx="11">
                  <c:v>5.9351201827895397E-2</c:v>
                </c:pt>
                <c:pt idx="12" formatCode="0.###">
                  <c:v>4.0611465050731837E-3</c:v>
                </c:pt>
                <c:pt idx="13">
                  <c:v>1.6156761884348625E-3</c:v>
                </c:pt>
                <c:pt idx="14">
                  <c:v>1.5663328963939141E-3</c:v>
                </c:pt>
                <c:pt idx="15" formatCode="0">
                  <c:v>0</c:v>
                </c:pt>
                <c:pt idx="16">
                  <c:v>3.3387050835944211E-2</c:v>
                </c:pt>
                <c:pt idx="17">
                  <c:v>3.4545859556702987E-2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0-4DFC-85F8-61ED5EB2567F}"/>
            </c:ext>
          </c:extLst>
        </c:ser>
        <c:ser>
          <c:idx val="1"/>
          <c:order val="1"/>
          <c:tx>
            <c:strRef>
              <c:f>'Improved product (EU) Scenario'!$T$68</c:f>
              <c:strCache>
                <c:ptCount val="1"/>
                <c:pt idx="0">
                  <c:v>Replacement 1</c:v>
                </c:pt>
              </c:strCache>
            </c:strRef>
          </c:tx>
          <c:invertIfNegative val="0"/>
          <c:cat>
            <c:strRef>
              <c:f>'Improved product (EU) Scenario'!$R$69:$R$86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'Improved product (EU) Scenario'!$T$69:$T$86</c:f>
              <c:numCache>
                <c:formatCode>0.####</c:formatCode>
                <c:ptCount val="18"/>
                <c:pt idx="0">
                  <c:v>1.9912165390439284E-2</c:v>
                </c:pt>
                <c:pt idx="1">
                  <c:v>4.1865791734842488E-4</c:v>
                </c:pt>
                <c:pt idx="2">
                  <c:v>1.7423732129270317E-2</c:v>
                </c:pt>
                <c:pt idx="3">
                  <c:v>0.52324867790232366</c:v>
                </c:pt>
                <c:pt idx="4">
                  <c:v>7.8184956687242912E-3</c:v>
                </c:pt>
                <c:pt idx="5">
                  <c:v>0.45420428975080585</c:v>
                </c:pt>
                <c:pt idx="6">
                  <c:v>5.9394868343370056E-3</c:v>
                </c:pt>
                <c:pt idx="7">
                  <c:v>1.7103523819296224E-2</c:v>
                </c:pt>
                <c:pt idx="8" formatCode="0.###">
                  <c:v>2.0851964766852235E-3</c:v>
                </c:pt>
                <c:pt idx="9">
                  <c:v>0.93180613418307956</c:v>
                </c:pt>
                <c:pt idx="10">
                  <c:v>1.5345424525863651</c:v>
                </c:pt>
                <c:pt idx="11">
                  <c:v>4.4898224172222063E-2</c:v>
                </c:pt>
                <c:pt idx="12">
                  <c:v>3.1483720160885797E-3</c:v>
                </c:pt>
                <c:pt idx="13">
                  <c:v>1.4993902029410535E-3</c:v>
                </c:pt>
                <c:pt idx="14">
                  <c:v>1.3093291181407887E-3</c:v>
                </c:pt>
                <c:pt idx="15" formatCode="0">
                  <c:v>0</c:v>
                </c:pt>
                <c:pt idx="16">
                  <c:v>3.8919481125691845E-2</c:v>
                </c:pt>
                <c:pt idx="17">
                  <c:v>2.7885561910623646E-2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0-4DFC-85F8-61ED5EB2567F}"/>
            </c:ext>
          </c:extLst>
        </c:ser>
        <c:ser>
          <c:idx val="2"/>
          <c:order val="2"/>
          <c:tx>
            <c:strRef>
              <c:f>'Improved product (EU) Scenario'!$U$68</c:f>
              <c:strCache>
                <c:ptCount val="1"/>
                <c:pt idx="0">
                  <c:v>Replacement 2</c:v>
                </c:pt>
              </c:strCache>
            </c:strRef>
          </c:tx>
          <c:invertIfNegative val="0"/>
          <c:cat>
            <c:strRef>
              <c:f>'Improved product (EU) Scenario'!$R$69:$R$86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'Improved product (EU) Scenario'!$U$69:$U$86</c:f>
              <c:numCache>
                <c:formatCode>0.####</c:formatCode>
                <c:ptCount val="18"/>
                <c:pt idx="0">
                  <c:v>2.0815498936675978E-2</c:v>
                </c:pt>
                <c:pt idx="1">
                  <c:v>4.447026412263685E-4</c:v>
                </c:pt>
                <c:pt idx="2" formatCode="0.###">
                  <c:v>1.8047611532278959E-2</c:v>
                </c:pt>
                <c:pt idx="3">
                  <c:v>0.53213868534171405</c:v>
                </c:pt>
                <c:pt idx="4">
                  <c:v>7.9369783702694773E-3</c:v>
                </c:pt>
                <c:pt idx="5">
                  <c:v>0.44167212691727542</c:v>
                </c:pt>
                <c:pt idx="6" formatCode="0.###">
                  <c:v>6.0936609348486966E-3</c:v>
                </c:pt>
                <c:pt idx="7">
                  <c:v>1.7483889444609751E-2</c:v>
                </c:pt>
                <c:pt idx="8">
                  <c:v>3.3402763122378915E-3</c:v>
                </c:pt>
                <c:pt idx="9">
                  <c:v>0.9278909034140479</c:v>
                </c:pt>
                <c:pt idx="10">
                  <c:v>1.5298559989830438</c:v>
                </c:pt>
                <c:pt idx="11">
                  <c:v>4.8410053661135252E-2</c:v>
                </c:pt>
                <c:pt idx="12">
                  <c:v>3.3679432016800455E-3</c:v>
                </c:pt>
                <c:pt idx="13">
                  <c:v>1.4923996151396976E-3</c:v>
                </c:pt>
                <c:pt idx="14">
                  <c:v>1.3628361837641268E-3</c:v>
                </c:pt>
                <c:pt idx="15" formatCode="0">
                  <c:v>0</c:v>
                </c:pt>
                <c:pt idx="16">
                  <c:v>3.6760776041834829E-2</c:v>
                </c:pt>
                <c:pt idx="17">
                  <c:v>2.9297067123196917E-2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0-4DFC-85F8-61ED5EB2567F}"/>
            </c:ext>
          </c:extLst>
        </c:ser>
        <c:ser>
          <c:idx val="3"/>
          <c:order val="3"/>
          <c:tx>
            <c:strRef>
              <c:f>'Improved product (EU) Scenario'!$V$68</c:f>
              <c:strCache>
                <c:ptCount val="1"/>
                <c:pt idx="0">
                  <c:v>Replacement 3</c:v>
                </c:pt>
              </c:strCache>
            </c:strRef>
          </c:tx>
          <c:invertIfNegative val="0"/>
          <c:cat>
            <c:strRef>
              <c:f>'Improved product (EU) Scenario'!$R$69:$R$86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'Improved product (EU) Scenario'!$V$69:$V$86</c:f>
              <c:numCache>
                <c:formatCode>0.####</c:formatCode>
                <c:ptCount val="18"/>
                <c:pt idx="0">
                  <c:v>2.2829451125169108E-2</c:v>
                </c:pt>
                <c:pt idx="1">
                  <c:v>4.9057544581793881E-4</c:v>
                </c:pt>
                <c:pt idx="2">
                  <c:v>1.9686647668890743E-2</c:v>
                </c:pt>
                <c:pt idx="3">
                  <c:v>0.58219366352626889</c:v>
                </c:pt>
                <c:pt idx="4">
                  <c:v>8.2909971869884348E-3</c:v>
                </c:pt>
                <c:pt idx="5">
                  <c:v>0.47451420794649174</c:v>
                </c:pt>
                <c:pt idx="6">
                  <c:v>6.6037906747346102E-3</c:v>
                </c:pt>
                <c:pt idx="7">
                  <c:v>1.8923048601854273E-2</c:v>
                </c:pt>
                <c:pt idx="8">
                  <c:v>3.4829501201204963E-3</c:v>
                </c:pt>
                <c:pt idx="9">
                  <c:v>1.0022830283397137</c:v>
                </c:pt>
                <c:pt idx="10">
                  <c:v>1.6536394983901019</c:v>
                </c:pt>
                <c:pt idx="11">
                  <c:v>5.3972136340967751E-2</c:v>
                </c:pt>
                <c:pt idx="12">
                  <c:v>3.7293436561950215E-3</c:v>
                </c:pt>
                <c:pt idx="13">
                  <c:v>1.605867068769304E-3</c:v>
                </c:pt>
                <c:pt idx="14">
                  <c:v>1.4857534651967614E-3</c:v>
                </c:pt>
                <c:pt idx="15" formatCode="0">
                  <c:v>0</c:v>
                </c:pt>
                <c:pt idx="16" formatCode="0.###">
                  <c:v>3.7032850491869995E-2</c:v>
                </c:pt>
                <c:pt idx="17">
                  <c:v>3.220937771980479E-2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0-4DFC-85F8-61ED5EB25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994896"/>
        <c:axId val="581005720"/>
      </c:barChart>
      <c:catAx>
        <c:axId val="58099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1005720"/>
        <c:crosses val="autoZero"/>
        <c:auto val="1"/>
        <c:lblAlgn val="ctr"/>
        <c:lblOffset val="100"/>
        <c:noMultiLvlLbl val="0"/>
      </c:catAx>
      <c:valAx>
        <c:axId val="581005720"/>
        <c:scaling>
          <c:orientation val="minMax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580994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'Improved product (EU) Scenario'!$M$33</c:f>
              <c:strCache>
                <c:ptCount val="1"/>
                <c:pt idx="0">
                  <c:v>Replacement 1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'Improved product (EU) Scenario'!$L$34:$L$51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'Improved product (EU) Scenario'!$M$34:$M$51</c:f>
              <c:numCache>
                <c:formatCode>General</c:formatCode>
                <c:ptCount val="18"/>
                <c:pt idx="0">
                  <c:v>81.642272709113001</c:v>
                </c:pt>
                <c:pt idx="1">
                  <c:v>78.781151232547103</c:v>
                </c:pt>
                <c:pt idx="2">
                  <c:v>83.730485521608003</c:v>
                </c:pt>
                <c:pt idx="3">
                  <c:v>88.019853377623406</c:v>
                </c:pt>
                <c:pt idx="4">
                  <c:v>93.365848875554519</c:v>
                </c:pt>
                <c:pt idx="5">
                  <c:v>100.34937939925977</c:v>
                </c:pt>
                <c:pt idx="6">
                  <c:v>86.244481580166806</c:v>
                </c:pt>
                <c:pt idx="7">
                  <c:v>86.895668354343599</c:v>
                </c:pt>
                <c:pt idx="8">
                  <c:v>95.028243192939428</c:v>
                </c:pt>
                <c:pt idx="9">
                  <c:v>94.142977836303558</c:v>
                </c:pt>
                <c:pt idx="10">
                  <c:v>93.861237536844456</c:v>
                </c:pt>
                <c:pt idx="11">
                  <c:v>75.648382491758895</c:v>
                </c:pt>
                <c:pt idx="12">
                  <c:v>77.524216675158897</c:v>
                </c:pt>
                <c:pt idx="13">
                  <c:v>92.802642860853396</c:v>
                </c:pt>
                <c:pt idx="14">
                  <c:v>83.592007877455998</c:v>
                </c:pt>
                <c:pt idx="15">
                  <c:v>77.558170718233399</c:v>
                </c:pt>
                <c:pt idx="16">
                  <c:v>114.2150669272297</c:v>
                </c:pt>
                <c:pt idx="17">
                  <c:v>80.720417058526891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6-4B11-8105-1B70278F221D}"/>
            </c:ext>
          </c:extLst>
        </c:ser>
        <c:ser>
          <c:idx val="1"/>
          <c:order val="1"/>
          <c:tx>
            <c:strRef>
              <c:f>'Improved product (EU) Scenario'!$N$33</c:f>
              <c:strCache>
                <c:ptCount val="1"/>
                <c:pt idx="0">
                  <c:v>Replacement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'Improved product (EU) Scenario'!$L$34:$L$51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'Improved product (EU) Scenario'!$N$34:$N$51</c:f>
              <c:numCache>
                <c:formatCode>General</c:formatCode>
                <c:ptCount val="18"/>
                <c:pt idx="0">
                  <c:v>85.346048882274005</c:v>
                </c:pt>
                <c:pt idx="1">
                  <c:v>83.682129443191101</c:v>
                </c:pt>
                <c:pt idx="2">
                  <c:v>86.728564517157295</c:v>
                </c:pt>
                <c:pt idx="3">
                  <c:v>89.515312772720193</c:v>
                </c:pt>
                <c:pt idx="4">
                  <c:v>94.780729496526689</c:v>
                </c:pt>
                <c:pt idx="5">
                  <c:v>97.708328272937408</c:v>
                </c:pt>
                <c:pt idx="6">
                  <c:v>88.483170837773002</c:v>
                </c:pt>
                <c:pt idx="7">
                  <c:v>88.828142947289294</c:v>
                </c:pt>
                <c:pt idx="8">
                  <c:v>131.0632075842542</c:v>
                </c:pt>
                <c:pt idx="9">
                  <c:v>93.75234658162536</c:v>
                </c:pt>
                <c:pt idx="10">
                  <c:v>93.577835162391878</c:v>
                </c:pt>
                <c:pt idx="11">
                  <c:v>81.565414296938798</c:v>
                </c:pt>
                <c:pt idx="12">
                  <c:v>82.930847175121798</c:v>
                </c:pt>
                <c:pt idx="13">
                  <c:v>92.36997028379902</c:v>
                </c:pt>
                <c:pt idx="14">
                  <c:v>87.008080268358796</c:v>
                </c:pt>
                <c:pt idx="15">
                  <c:v>82.889854018095505</c:v>
                </c:pt>
                <c:pt idx="16">
                  <c:v>108.66847426612671</c:v>
                </c:pt>
                <c:pt idx="17">
                  <c:v>84.806305297192694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6-4B11-8105-1B70278F221D}"/>
            </c:ext>
          </c:extLst>
        </c:ser>
        <c:ser>
          <c:idx val="2"/>
          <c:order val="2"/>
          <c:tx>
            <c:strRef>
              <c:f>'Improved product (EU) Scenario'!$O$33</c:f>
              <c:strCache>
                <c:ptCount val="1"/>
                <c:pt idx="0">
                  <c:v>Replacement 3</c:v>
                </c:pt>
              </c:strCache>
            </c:strRef>
          </c:tx>
          <c:spPr>
            <a:pattFill prst="pct60">
              <a:fgClr>
                <a:schemeClr val="accent6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'Improved product (EU) Scenario'!$L$34:$L$51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'Improved product (EU) Scenario'!$O$34:$O$51</c:f>
              <c:numCache>
                <c:formatCode>General</c:formatCode>
                <c:ptCount val="18"/>
                <c:pt idx="0">
                  <c:v>93.603495050083012</c:v>
                </c:pt>
                <c:pt idx="1">
                  <c:v>92.314266102347915</c:v>
                </c:pt>
                <c:pt idx="2">
                  <c:v>94.605022355682678</c:v>
                </c:pt>
                <c:pt idx="3">
                  <c:v>97.935461789220696</c:v>
                </c:pt>
                <c:pt idx="4">
                  <c:v>99.008303283272625</c:v>
                </c:pt>
                <c:pt idx="5">
                  <c:v>104.62952904611217</c:v>
                </c:pt>
                <c:pt idx="6">
                  <c:v>95.890523725692461</c:v>
                </c:pt>
                <c:pt idx="7">
                  <c:v>96.139893330326771</c:v>
                </c:pt>
                <c:pt idx="8">
                  <c:v>135.15955702831849</c:v>
                </c:pt>
                <c:pt idx="9">
                  <c:v>101.17461382772414</c:v>
                </c:pt>
                <c:pt idx="10">
                  <c:v>101.06335419647229</c:v>
                </c:pt>
                <c:pt idx="11">
                  <c:v>90.936888687568867</c:v>
                </c:pt>
                <c:pt idx="12">
                  <c:v>91.829823217072516</c:v>
                </c:pt>
                <c:pt idx="13">
                  <c:v>99.392878366607334</c:v>
                </c:pt>
                <c:pt idx="14">
                  <c:v>94.85553604966961</c:v>
                </c:pt>
                <c:pt idx="15">
                  <c:v>91.817373477061963</c:v>
                </c:pt>
                <c:pt idx="16">
                  <c:v>109.36754435176441</c:v>
                </c:pt>
                <c:pt idx="17">
                  <c:v>93.236579240232516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6-4B11-8105-1B70278F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395056"/>
        <c:axId val="426395384"/>
      </c:barChart>
      <c:catAx>
        <c:axId val="42639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95384"/>
        <c:crossesAt val="100"/>
        <c:auto val="1"/>
        <c:lblAlgn val="ctr"/>
        <c:lblOffset val="100"/>
        <c:noMultiLvlLbl val="0"/>
      </c:catAx>
      <c:valAx>
        <c:axId val="426395384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impact (25000h=100%)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9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'EU normalisation world'!$B$8</c:f>
              <c:strCache>
                <c:ptCount val="1"/>
                <c:pt idx="0">
                  <c:v>2012 Product 0 (EU avg)</c:v>
                </c:pt>
              </c:strCache>
            </c:strRef>
          </c:tx>
          <c:invertIfNegative val="0"/>
          <c:cat>
            <c:strRef>
              <c:f>'EU normalisation world'!$A$9:$A$26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'EU normalisation world'!$B$9:$B$26</c:f>
              <c:numCache>
                <c:formatCode>0.####</c:formatCode>
                <c:ptCount val="18"/>
                <c:pt idx="0">
                  <c:v>2.4389528524500083E-2</c:v>
                </c:pt>
                <c:pt idx="1">
                  <c:v>5.3141888738414769E-4</c:v>
                </c:pt>
                <c:pt idx="2">
                  <c:v>2.0809305022808939E-2</c:v>
                </c:pt>
                <c:pt idx="3">
                  <c:v>0.59446665476421323</c:v>
                </c:pt>
                <c:pt idx="4">
                  <c:v>8.374042289430058E-3</c:v>
                </c:pt>
                <c:pt idx="5">
                  <c:v>0.45254643486167995</c:v>
                </c:pt>
                <c:pt idx="6">
                  <c:v>6.8868021762250407E-3</c:v>
                </c:pt>
                <c:pt idx="7">
                  <c:v>1.9682826708405592E-2</c:v>
                </c:pt>
                <c:pt idx="8">
                  <c:v>2.2583602863688358E-3</c:v>
                </c:pt>
                <c:pt idx="9">
                  <c:v>0.99051007329590235</c:v>
                </c:pt>
                <c:pt idx="10" formatCode="0.###">
                  <c:v>1.6360554533894451</c:v>
                </c:pt>
                <c:pt idx="11">
                  <c:v>5.9351201827895397E-2</c:v>
                </c:pt>
                <c:pt idx="12" formatCode="0.###">
                  <c:v>4.0611465050731837E-3</c:v>
                </c:pt>
                <c:pt idx="13">
                  <c:v>1.6156761884348625E-3</c:v>
                </c:pt>
                <c:pt idx="14">
                  <c:v>1.5663328963939141E-3</c:v>
                </c:pt>
                <c:pt idx="15" formatCode="0">
                  <c:v>0</c:v>
                </c:pt>
                <c:pt idx="16">
                  <c:v>3.3387050835944211E-2</c:v>
                </c:pt>
                <c:pt idx="17">
                  <c:v>3.4545859556702987E-2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9-4772-8EE4-CDD538FF7629}"/>
            </c:ext>
          </c:extLst>
        </c:ser>
        <c:ser>
          <c:idx val="1"/>
          <c:order val="1"/>
          <c:tx>
            <c:strRef>
              <c:f>'EU normalisation world'!$C$8</c:f>
              <c:strCache>
                <c:ptCount val="1"/>
                <c:pt idx="0">
                  <c:v>5000 hour replacement 1 (EU avg)</c:v>
                </c:pt>
              </c:strCache>
            </c:strRef>
          </c:tx>
          <c:invertIfNegative val="0"/>
          <c:cat>
            <c:strRef>
              <c:f>'EU normalisation world'!$A$9:$A$26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'EU normalisation world'!$C$9:$C$26</c:f>
              <c:numCache>
                <c:formatCode>0.####</c:formatCode>
                <c:ptCount val="18"/>
                <c:pt idx="0">
                  <c:v>1.9912165390439284E-2</c:v>
                </c:pt>
                <c:pt idx="1">
                  <c:v>4.1865791734842488E-4</c:v>
                </c:pt>
                <c:pt idx="2">
                  <c:v>1.7423732129270317E-2</c:v>
                </c:pt>
                <c:pt idx="3">
                  <c:v>0.52324867790232366</c:v>
                </c:pt>
                <c:pt idx="4">
                  <c:v>7.8184956687242912E-3</c:v>
                </c:pt>
                <c:pt idx="5">
                  <c:v>0.45420428975080585</c:v>
                </c:pt>
                <c:pt idx="6">
                  <c:v>5.9394868343370056E-3</c:v>
                </c:pt>
                <c:pt idx="7">
                  <c:v>1.7103523819296224E-2</c:v>
                </c:pt>
                <c:pt idx="8" formatCode="0.###">
                  <c:v>2.0851964766852235E-3</c:v>
                </c:pt>
                <c:pt idx="9">
                  <c:v>0.93180613418307956</c:v>
                </c:pt>
                <c:pt idx="10">
                  <c:v>1.5345424525863651</c:v>
                </c:pt>
                <c:pt idx="11">
                  <c:v>4.4898224172222063E-2</c:v>
                </c:pt>
                <c:pt idx="12">
                  <c:v>3.1483720160885797E-3</c:v>
                </c:pt>
                <c:pt idx="13">
                  <c:v>1.4993902029410535E-3</c:v>
                </c:pt>
                <c:pt idx="14">
                  <c:v>1.3093291181407887E-3</c:v>
                </c:pt>
                <c:pt idx="15" formatCode="0">
                  <c:v>0</c:v>
                </c:pt>
                <c:pt idx="16">
                  <c:v>3.8919481125691845E-2</c:v>
                </c:pt>
                <c:pt idx="17">
                  <c:v>2.7885561910623646E-2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9-4772-8EE4-CDD538FF7629}"/>
            </c:ext>
          </c:extLst>
        </c:ser>
        <c:ser>
          <c:idx val="2"/>
          <c:order val="2"/>
          <c:tx>
            <c:strRef>
              <c:f>'EU normalisation world'!$D$8</c:f>
              <c:strCache>
                <c:ptCount val="1"/>
                <c:pt idx="0">
                  <c:v>5000 hour replacement 2 (EU avg)</c:v>
                </c:pt>
              </c:strCache>
            </c:strRef>
          </c:tx>
          <c:invertIfNegative val="0"/>
          <c:cat>
            <c:strRef>
              <c:f>'EU normalisation world'!$A$9:$A$26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'EU normalisation world'!$D$9:$D$26</c:f>
              <c:numCache>
                <c:formatCode>0.####</c:formatCode>
                <c:ptCount val="18"/>
                <c:pt idx="0">
                  <c:v>2.0815498936675978E-2</c:v>
                </c:pt>
                <c:pt idx="1">
                  <c:v>4.447026412263685E-4</c:v>
                </c:pt>
                <c:pt idx="2" formatCode="0.###">
                  <c:v>1.8047611532278959E-2</c:v>
                </c:pt>
                <c:pt idx="3">
                  <c:v>0.53213868534171405</c:v>
                </c:pt>
                <c:pt idx="4">
                  <c:v>7.9369783702694773E-3</c:v>
                </c:pt>
                <c:pt idx="5">
                  <c:v>0.44167212691727542</c:v>
                </c:pt>
                <c:pt idx="6" formatCode="0.###">
                  <c:v>6.0936609348486966E-3</c:v>
                </c:pt>
                <c:pt idx="7">
                  <c:v>1.7483889444609751E-2</c:v>
                </c:pt>
                <c:pt idx="8">
                  <c:v>3.3402763122378915E-3</c:v>
                </c:pt>
                <c:pt idx="9">
                  <c:v>0.9278909034140479</c:v>
                </c:pt>
                <c:pt idx="10">
                  <c:v>1.5298559989830438</c:v>
                </c:pt>
                <c:pt idx="11">
                  <c:v>4.8410053661135252E-2</c:v>
                </c:pt>
                <c:pt idx="12">
                  <c:v>3.3679432016800455E-3</c:v>
                </c:pt>
                <c:pt idx="13">
                  <c:v>1.4923996151396976E-3</c:v>
                </c:pt>
                <c:pt idx="14">
                  <c:v>1.3628361837641268E-3</c:v>
                </c:pt>
                <c:pt idx="15" formatCode="0">
                  <c:v>0</c:v>
                </c:pt>
                <c:pt idx="16">
                  <c:v>3.6760776041834829E-2</c:v>
                </c:pt>
                <c:pt idx="17">
                  <c:v>2.9297067123196917E-2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69-4772-8EE4-CDD538FF7629}"/>
            </c:ext>
          </c:extLst>
        </c:ser>
        <c:ser>
          <c:idx val="3"/>
          <c:order val="3"/>
          <c:tx>
            <c:strRef>
              <c:f>'EU normalisation world'!$E$8</c:f>
              <c:strCache>
                <c:ptCount val="1"/>
                <c:pt idx="0">
                  <c:v>5000 hour replacement 3 (EU avg)</c:v>
                </c:pt>
              </c:strCache>
            </c:strRef>
          </c:tx>
          <c:invertIfNegative val="0"/>
          <c:cat>
            <c:strRef>
              <c:f>'EU normalisation world'!$A$9:$A$26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'EU normalisation world'!$E$9:$E$26</c:f>
              <c:numCache>
                <c:formatCode>0.####</c:formatCode>
                <c:ptCount val="18"/>
                <c:pt idx="0">
                  <c:v>2.2829451125169108E-2</c:v>
                </c:pt>
                <c:pt idx="1">
                  <c:v>4.9057544581793881E-4</c:v>
                </c:pt>
                <c:pt idx="2">
                  <c:v>1.9686647668890743E-2</c:v>
                </c:pt>
                <c:pt idx="3">
                  <c:v>0.58219366352626889</c:v>
                </c:pt>
                <c:pt idx="4">
                  <c:v>8.2909971869884348E-3</c:v>
                </c:pt>
                <c:pt idx="5">
                  <c:v>0.47451420794649174</c:v>
                </c:pt>
                <c:pt idx="6">
                  <c:v>6.6037906747346102E-3</c:v>
                </c:pt>
                <c:pt idx="7">
                  <c:v>1.8923048601854273E-2</c:v>
                </c:pt>
                <c:pt idx="8">
                  <c:v>3.4829501201204963E-3</c:v>
                </c:pt>
                <c:pt idx="9">
                  <c:v>1.0022830283397137</c:v>
                </c:pt>
                <c:pt idx="10">
                  <c:v>1.6536394983901019</c:v>
                </c:pt>
                <c:pt idx="11">
                  <c:v>5.3972136340967751E-2</c:v>
                </c:pt>
                <c:pt idx="12">
                  <c:v>3.7293436561950215E-3</c:v>
                </c:pt>
                <c:pt idx="13">
                  <c:v>1.605867068769304E-3</c:v>
                </c:pt>
                <c:pt idx="14">
                  <c:v>1.4857534651967614E-3</c:v>
                </c:pt>
                <c:pt idx="15" formatCode="0">
                  <c:v>0</c:v>
                </c:pt>
                <c:pt idx="16" formatCode="0.###">
                  <c:v>3.7032850491869995E-2</c:v>
                </c:pt>
                <c:pt idx="17">
                  <c:v>3.220937771980479E-2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69-4772-8EE4-CDD538FF7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8025176"/>
        <c:axId val="698030752"/>
      </c:barChart>
      <c:catAx>
        <c:axId val="69802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8030752"/>
        <c:crosses val="autoZero"/>
        <c:auto val="1"/>
        <c:lblAlgn val="ctr"/>
        <c:lblOffset val="100"/>
        <c:noMultiLvlLbl val="0"/>
      </c:catAx>
      <c:valAx>
        <c:axId val="698030752"/>
        <c:scaling>
          <c:orientation val="minMax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698025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'EU normalisation world'!$B$8</c:f>
              <c:strCache>
                <c:ptCount val="1"/>
                <c:pt idx="0">
                  <c:v>2012 Product 0 (EU avg)</c:v>
                </c:pt>
              </c:strCache>
            </c:strRef>
          </c:tx>
          <c:invertIfNegative val="0"/>
          <c:cat>
            <c:strRef>
              <c:f>'EU normalisation world'!$A$9:$A$26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'EU normalisation world'!$B$9:$B$26</c:f>
              <c:numCache>
                <c:formatCode>0.####</c:formatCode>
                <c:ptCount val="18"/>
                <c:pt idx="0">
                  <c:v>2.4389528524500083E-2</c:v>
                </c:pt>
                <c:pt idx="1">
                  <c:v>5.3141888738414769E-4</c:v>
                </c:pt>
                <c:pt idx="2">
                  <c:v>2.0809305022808939E-2</c:v>
                </c:pt>
                <c:pt idx="3">
                  <c:v>0.59446665476421323</c:v>
                </c:pt>
                <c:pt idx="4">
                  <c:v>8.374042289430058E-3</c:v>
                </c:pt>
                <c:pt idx="5">
                  <c:v>0.45254643486167995</c:v>
                </c:pt>
                <c:pt idx="6">
                  <c:v>6.8868021762250407E-3</c:v>
                </c:pt>
                <c:pt idx="7">
                  <c:v>1.9682826708405592E-2</c:v>
                </c:pt>
                <c:pt idx="8">
                  <c:v>2.2583602863688358E-3</c:v>
                </c:pt>
                <c:pt idx="9">
                  <c:v>0.99051007329590235</c:v>
                </c:pt>
                <c:pt idx="10" formatCode="0.###">
                  <c:v>1.6360554533894451</c:v>
                </c:pt>
                <c:pt idx="11">
                  <c:v>5.9351201827895397E-2</c:v>
                </c:pt>
                <c:pt idx="12" formatCode="0.###">
                  <c:v>4.0611465050731837E-3</c:v>
                </c:pt>
                <c:pt idx="13">
                  <c:v>1.6156761884348625E-3</c:v>
                </c:pt>
                <c:pt idx="14">
                  <c:v>1.5663328963939141E-3</c:v>
                </c:pt>
                <c:pt idx="15" formatCode="0">
                  <c:v>0</c:v>
                </c:pt>
                <c:pt idx="16">
                  <c:v>3.3387050835944211E-2</c:v>
                </c:pt>
                <c:pt idx="17">
                  <c:v>3.4545859556702987E-2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4-41CE-9A29-5783D8199775}"/>
            </c:ext>
          </c:extLst>
        </c:ser>
        <c:ser>
          <c:idx val="1"/>
          <c:order val="1"/>
          <c:tx>
            <c:strRef>
              <c:f>'EU normalisation world'!$C$8</c:f>
              <c:strCache>
                <c:ptCount val="1"/>
                <c:pt idx="0">
                  <c:v>5000 hour replacement 1 (EU avg)</c:v>
                </c:pt>
              </c:strCache>
            </c:strRef>
          </c:tx>
          <c:invertIfNegative val="0"/>
          <c:cat>
            <c:strRef>
              <c:f>'EU normalisation world'!$A$9:$A$26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'EU normalisation world'!$C$9:$C$26</c:f>
              <c:numCache>
                <c:formatCode>0.####</c:formatCode>
                <c:ptCount val="18"/>
                <c:pt idx="0">
                  <c:v>1.9912165390439284E-2</c:v>
                </c:pt>
                <c:pt idx="1">
                  <c:v>4.1865791734842488E-4</c:v>
                </c:pt>
                <c:pt idx="2">
                  <c:v>1.7423732129270317E-2</c:v>
                </c:pt>
                <c:pt idx="3">
                  <c:v>0.52324867790232366</c:v>
                </c:pt>
                <c:pt idx="4">
                  <c:v>7.8184956687242912E-3</c:v>
                </c:pt>
                <c:pt idx="5">
                  <c:v>0.45420428975080585</c:v>
                </c:pt>
                <c:pt idx="6">
                  <c:v>5.9394868343370056E-3</c:v>
                </c:pt>
                <c:pt idx="7">
                  <c:v>1.7103523819296224E-2</c:v>
                </c:pt>
                <c:pt idx="8" formatCode="0.###">
                  <c:v>2.0851964766852235E-3</c:v>
                </c:pt>
                <c:pt idx="9">
                  <c:v>0.93180613418307956</c:v>
                </c:pt>
                <c:pt idx="10">
                  <c:v>1.5345424525863651</c:v>
                </c:pt>
                <c:pt idx="11">
                  <c:v>4.4898224172222063E-2</c:v>
                </c:pt>
                <c:pt idx="12">
                  <c:v>3.1483720160885797E-3</c:v>
                </c:pt>
                <c:pt idx="13">
                  <c:v>1.4993902029410535E-3</c:v>
                </c:pt>
                <c:pt idx="14">
                  <c:v>1.3093291181407887E-3</c:v>
                </c:pt>
                <c:pt idx="15" formatCode="0">
                  <c:v>0</c:v>
                </c:pt>
                <c:pt idx="16">
                  <c:v>3.8919481125691845E-2</c:v>
                </c:pt>
                <c:pt idx="17">
                  <c:v>2.7885561910623646E-2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4-41CE-9A29-5783D8199775}"/>
            </c:ext>
          </c:extLst>
        </c:ser>
        <c:ser>
          <c:idx val="2"/>
          <c:order val="2"/>
          <c:tx>
            <c:strRef>
              <c:f>'EU normalisation world'!$D$8</c:f>
              <c:strCache>
                <c:ptCount val="1"/>
                <c:pt idx="0">
                  <c:v>5000 hour replacement 2 (EU avg)</c:v>
                </c:pt>
              </c:strCache>
            </c:strRef>
          </c:tx>
          <c:invertIfNegative val="0"/>
          <c:cat>
            <c:strRef>
              <c:f>'EU normalisation world'!$A$9:$A$26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'EU normalisation world'!$D$9:$D$26</c:f>
              <c:numCache>
                <c:formatCode>0.####</c:formatCode>
                <c:ptCount val="18"/>
                <c:pt idx="0">
                  <c:v>2.0815498936675978E-2</c:v>
                </c:pt>
                <c:pt idx="1">
                  <c:v>4.447026412263685E-4</c:v>
                </c:pt>
                <c:pt idx="2" formatCode="0.###">
                  <c:v>1.8047611532278959E-2</c:v>
                </c:pt>
                <c:pt idx="3">
                  <c:v>0.53213868534171405</c:v>
                </c:pt>
                <c:pt idx="4">
                  <c:v>7.9369783702694773E-3</c:v>
                </c:pt>
                <c:pt idx="5">
                  <c:v>0.44167212691727542</c:v>
                </c:pt>
                <c:pt idx="6" formatCode="0.###">
                  <c:v>6.0936609348486966E-3</c:v>
                </c:pt>
                <c:pt idx="7">
                  <c:v>1.7483889444609751E-2</c:v>
                </c:pt>
                <c:pt idx="8">
                  <c:v>3.3402763122378915E-3</c:v>
                </c:pt>
                <c:pt idx="9">
                  <c:v>0.9278909034140479</c:v>
                </c:pt>
                <c:pt idx="10">
                  <c:v>1.5298559989830438</c:v>
                </c:pt>
                <c:pt idx="11">
                  <c:v>4.8410053661135252E-2</c:v>
                </c:pt>
                <c:pt idx="12">
                  <c:v>3.3679432016800455E-3</c:v>
                </c:pt>
                <c:pt idx="13">
                  <c:v>1.4923996151396976E-3</c:v>
                </c:pt>
                <c:pt idx="14">
                  <c:v>1.3628361837641268E-3</c:v>
                </c:pt>
                <c:pt idx="15" formatCode="0">
                  <c:v>0</c:v>
                </c:pt>
                <c:pt idx="16">
                  <c:v>3.6760776041834829E-2</c:v>
                </c:pt>
                <c:pt idx="17">
                  <c:v>2.9297067123196917E-2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4-41CE-9A29-5783D8199775}"/>
            </c:ext>
          </c:extLst>
        </c:ser>
        <c:ser>
          <c:idx val="3"/>
          <c:order val="3"/>
          <c:tx>
            <c:strRef>
              <c:f>'EU normalisation world'!$E$8</c:f>
              <c:strCache>
                <c:ptCount val="1"/>
                <c:pt idx="0">
                  <c:v>5000 hour replacement 3 (EU avg)</c:v>
                </c:pt>
              </c:strCache>
            </c:strRef>
          </c:tx>
          <c:invertIfNegative val="0"/>
          <c:cat>
            <c:strRef>
              <c:f>'EU normalisation world'!$A$9:$A$26</c:f>
              <c:strCache>
                <c:ptCount val="18"/>
                <c:pt idx="0">
                  <c:v>Climate change</c:v>
                </c:pt>
                <c:pt idx="1">
                  <c:v>Ozone depletion</c:v>
                </c:pt>
                <c:pt idx="2">
                  <c:v>Terrestrial acidification</c:v>
                </c:pt>
                <c:pt idx="3">
                  <c:v>Freshwater eutrophication</c:v>
                </c:pt>
                <c:pt idx="4">
                  <c:v>Marine eutrophication</c:v>
                </c:pt>
                <c:pt idx="5">
                  <c:v>Human toxicity</c:v>
                </c:pt>
                <c:pt idx="6">
                  <c:v>Photochemical oxidant formation</c:v>
                </c:pt>
                <c:pt idx="7">
                  <c:v>Particulate matter formation</c:v>
                </c:pt>
                <c:pt idx="8">
                  <c:v>Terrestrial ecotoxicity</c:v>
                </c:pt>
                <c:pt idx="9">
                  <c:v>Freshwater ecotoxicity</c:v>
                </c:pt>
                <c:pt idx="10">
                  <c:v>Marine ecotoxicity</c:v>
                </c:pt>
                <c:pt idx="11">
                  <c:v>Ionising radiation</c:v>
                </c:pt>
                <c:pt idx="12">
                  <c:v>Agricultural land occupation</c:v>
                </c:pt>
                <c:pt idx="13">
                  <c:v>Urban land occupation</c:v>
                </c:pt>
                <c:pt idx="14">
                  <c:v>Natural land transformation</c:v>
                </c:pt>
                <c:pt idx="15">
                  <c:v>Water depletion</c:v>
                </c:pt>
                <c:pt idx="16">
                  <c:v>Metal depletion</c:v>
                </c:pt>
                <c:pt idx="17">
                  <c:v>Fossil depletion</c:v>
                </c:pt>
              </c:strCache>
            </c:strRef>
          </c:cat>
          <c:val>
            <c:numRef>
              <c:f>'EU normalisation world'!$E$9:$E$26</c:f>
              <c:numCache>
                <c:formatCode>0.####</c:formatCode>
                <c:ptCount val="18"/>
                <c:pt idx="0">
                  <c:v>2.2829451125169108E-2</c:v>
                </c:pt>
                <c:pt idx="1">
                  <c:v>4.9057544581793881E-4</c:v>
                </c:pt>
                <c:pt idx="2">
                  <c:v>1.9686647668890743E-2</c:v>
                </c:pt>
                <c:pt idx="3">
                  <c:v>0.58219366352626889</c:v>
                </c:pt>
                <c:pt idx="4">
                  <c:v>8.2909971869884348E-3</c:v>
                </c:pt>
                <c:pt idx="5">
                  <c:v>0.47451420794649174</c:v>
                </c:pt>
                <c:pt idx="6">
                  <c:v>6.6037906747346102E-3</c:v>
                </c:pt>
                <c:pt idx="7">
                  <c:v>1.8923048601854273E-2</c:v>
                </c:pt>
                <c:pt idx="8">
                  <c:v>3.4829501201204963E-3</c:v>
                </c:pt>
                <c:pt idx="9">
                  <c:v>1.0022830283397137</c:v>
                </c:pt>
                <c:pt idx="10">
                  <c:v>1.6536394983901019</c:v>
                </c:pt>
                <c:pt idx="11">
                  <c:v>5.3972136340967751E-2</c:v>
                </c:pt>
                <c:pt idx="12">
                  <c:v>3.7293436561950215E-3</c:v>
                </c:pt>
                <c:pt idx="13">
                  <c:v>1.605867068769304E-3</c:v>
                </c:pt>
                <c:pt idx="14">
                  <c:v>1.4857534651967614E-3</c:v>
                </c:pt>
                <c:pt idx="15" formatCode="0">
                  <c:v>0</c:v>
                </c:pt>
                <c:pt idx="16" formatCode="0.###">
                  <c:v>3.7032850491869995E-2</c:v>
                </c:pt>
                <c:pt idx="17">
                  <c:v>3.220937771980479E-2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04-41CE-9A29-5783D8199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8025176"/>
        <c:axId val="698030752"/>
      </c:barChart>
      <c:catAx>
        <c:axId val="69802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8030752"/>
        <c:crosses val="autoZero"/>
        <c:auto val="1"/>
        <c:lblAlgn val="ctr"/>
        <c:lblOffset val="100"/>
        <c:noMultiLvlLbl val="0"/>
      </c:catAx>
      <c:valAx>
        <c:axId val="698030752"/>
        <c:scaling>
          <c:orientation val="minMax"/>
        </c:scaling>
        <c:delete val="0"/>
        <c:axPos val="l"/>
        <c:majorGridlines/>
        <c:numFmt formatCode="0.####" sourceLinked="1"/>
        <c:majorTickMark val="out"/>
        <c:minorTickMark val="none"/>
        <c:tickLblPos val="nextTo"/>
        <c:crossAx val="698025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441960</xdr:colOff>
      <xdr:row>30</xdr:row>
      <xdr:rowOff>114300</xdr:rowOff>
    </xdr:from>
    <xdr:to>
      <xdr:col>24</xdr:col>
      <xdr:colOff>106680</xdr:colOff>
      <xdr:row>48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609600</xdr:colOff>
      <xdr:row>9</xdr:row>
      <xdr:rowOff>175260</xdr:rowOff>
    </xdr:from>
    <xdr:to>
      <xdr:col>24</xdr:col>
      <xdr:colOff>388620</xdr:colOff>
      <xdr:row>27</xdr:row>
      <xdr:rowOff>91440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8</xdr:row>
      <xdr:rowOff>95250</xdr:rowOff>
    </xdr:from>
    <xdr:to>
      <xdr:col>8</xdr:col>
      <xdr:colOff>381000</xdr:colOff>
      <xdr:row>23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</xdr:colOff>
      <xdr:row>30</xdr:row>
      <xdr:rowOff>106680</xdr:rowOff>
    </xdr:from>
    <xdr:to>
      <xdr:col>14</xdr:col>
      <xdr:colOff>308610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430530</xdr:colOff>
      <xdr:row>31</xdr:row>
      <xdr:rowOff>38100</xdr:rowOff>
    </xdr:from>
    <xdr:to>
      <xdr:col>27</xdr:col>
      <xdr:colOff>68580</xdr:colOff>
      <xdr:row>55</xdr:row>
      <xdr:rowOff>91440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640080</xdr:colOff>
      <xdr:row>5</xdr:row>
      <xdr:rowOff>49530</xdr:rowOff>
    </xdr:from>
    <xdr:to>
      <xdr:col>14</xdr:col>
      <xdr:colOff>601980</xdr:colOff>
      <xdr:row>27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1043940</xdr:colOff>
      <xdr:row>29</xdr:row>
      <xdr:rowOff>64770</xdr:rowOff>
    </xdr:from>
    <xdr:to>
      <xdr:col>9</xdr:col>
      <xdr:colOff>845820</xdr:colOff>
      <xdr:row>53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</xdr:row>
      <xdr:rowOff>87630</xdr:rowOff>
    </xdr:from>
    <xdr:to>
      <xdr:col>21</xdr:col>
      <xdr:colOff>137160</xdr:colOff>
      <xdr:row>41</xdr:row>
      <xdr:rowOff>167640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absoluteAnchor>
    <xdr:pos x="0" y="4590585"/>
    <xdr:ext cx="9286488" cy="6058829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4937760"/>
    <xdr:ext cx="9286488" cy="60588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7</xdr:col>
      <xdr:colOff>0</xdr:colOff>
      <xdr:row>7</xdr:row>
      <xdr:rowOff>0</xdr:rowOff>
    </xdr:from>
    <xdr:to>
      <xdr:col>11</xdr:col>
      <xdr:colOff>152400</xdr:colOff>
      <xdr:row>21</xdr:row>
      <xdr:rowOff>60960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26</xdr:row>
      <xdr:rowOff>156210</xdr:rowOff>
    </xdr:from>
    <xdr:to>
      <xdr:col>3</xdr:col>
      <xdr:colOff>1417320</xdr:colOff>
      <xdr:row>59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</xdr:row>
      <xdr:rowOff>118110</xdr:rowOff>
    </xdr:from>
    <xdr:to>
      <xdr:col>5</xdr:col>
      <xdr:colOff>22860</xdr:colOff>
      <xdr:row>59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83820</xdr:rowOff>
    </xdr:from>
    <xdr:to>
      <xdr:col>4</xdr:col>
      <xdr:colOff>1402080</xdr:colOff>
      <xdr:row>55</xdr:row>
      <xdr:rowOff>91440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</xdr:colOff>
      <xdr:row>27</xdr:row>
      <xdr:rowOff>15240</xdr:rowOff>
    </xdr:from>
    <xdr:to>
      <xdr:col>4</xdr:col>
      <xdr:colOff>1417320</xdr:colOff>
      <xdr:row>48</xdr:row>
      <xdr:rowOff>106680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4761</xdr:colOff>
      <xdr:row>49</xdr:row>
      <xdr:rowOff>42862</xdr:rowOff>
    </xdr:from>
    <xdr:to>
      <xdr:col>12</xdr:col>
      <xdr:colOff>228599</xdr:colOff>
      <xdr:row>69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7</xdr:row>
      <xdr:rowOff>138111</xdr:rowOff>
    </xdr:from>
    <xdr:to>
      <xdr:col>9</xdr:col>
      <xdr:colOff>9525</xdr:colOff>
      <xdr:row>25</xdr:row>
      <xdr:rowOff>123824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118110</xdr:rowOff>
    </xdr:from>
    <xdr:to>
      <xdr:col>13</xdr:col>
      <xdr:colOff>480060</xdr:colOff>
      <xdr:row>90</xdr:row>
      <xdr:rowOff>83820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8</xdr:row>
      <xdr:rowOff>0</xdr:rowOff>
    </xdr:from>
    <xdr:to>
      <xdr:col>28</xdr:col>
      <xdr:colOff>306705</xdr:colOff>
      <xdr:row>23</xdr:row>
      <xdr:rowOff>121920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</xdr:colOff>
      <xdr:row>32</xdr:row>
      <xdr:rowOff>1</xdr:rowOff>
    </xdr:from>
    <xdr:to>
      <xdr:col>30</xdr:col>
      <xdr:colOff>304800</xdr:colOff>
      <xdr:row>54</xdr:row>
      <xdr:rowOff>137160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68</xdr:row>
      <xdr:rowOff>0</xdr:rowOff>
    </xdr:from>
    <xdr:to>
      <xdr:col>30</xdr:col>
      <xdr:colOff>198120</xdr:colOff>
      <xdr:row>83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167640</xdr:colOff>
      <xdr:row>34</xdr:row>
      <xdr:rowOff>57150</xdr:rowOff>
    </xdr:from>
    <xdr:to>
      <xdr:col>23</xdr:col>
      <xdr:colOff>381000</xdr:colOff>
      <xdr:row>60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51</xdr:row>
      <xdr:rowOff>19050</xdr:rowOff>
    </xdr:from>
    <xdr:to>
      <xdr:col>20</xdr:col>
      <xdr:colOff>247650</xdr:colOff>
      <xdr:row>89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942975</xdr:colOff>
      <xdr:row>6</xdr:row>
      <xdr:rowOff>0</xdr:rowOff>
    </xdr:from>
    <xdr:to>
      <xdr:col>11</xdr:col>
      <xdr:colOff>1371600</xdr:colOff>
      <xdr:row>20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373380</xdr:colOff>
      <xdr:row>8</xdr:row>
      <xdr:rowOff>110490</xdr:rowOff>
    </xdr:from>
    <xdr:to>
      <xdr:col>8</xdr:col>
      <xdr:colOff>670560</xdr:colOff>
      <xdr:row>23</xdr:row>
      <xdr:rowOff>110490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1737360</xdr:colOff>
      <xdr:row>43</xdr:row>
      <xdr:rowOff>57150</xdr:rowOff>
    </xdr:from>
    <xdr:to>
      <xdr:col>4</xdr:col>
      <xdr:colOff>685800</xdr:colOff>
      <xdr:row>54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</xdr:colOff>
      <xdr:row>9</xdr:row>
      <xdr:rowOff>38100</xdr:rowOff>
    </xdr:from>
    <xdr:to>
      <xdr:col>27</xdr:col>
      <xdr:colOff>251460</xdr:colOff>
      <xdr:row>27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63</xdr:row>
      <xdr:rowOff>3810</xdr:rowOff>
    </xdr:from>
    <xdr:to>
      <xdr:col>14</xdr:col>
      <xdr:colOff>22860</xdr:colOff>
      <xdr:row>85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643890</xdr:colOff>
      <xdr:row>31</xdr:row>
      <xdr:rowOff>30480</xdr:rowOff>
    </xdr:from>
    <xdr:to>
      <xdr:col>24</xdr:col>
      <xdr:colOff>243840</xdr:colOff>
      <xdr:row>59</xdr:row>
      <xdr:rowOff>68580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586740</xdr:colOff>
      <xdr:row>8</xdr:row>
      <xdr:rowOff>7620</xdr:rowOff>
    </xdr:from>
    <xdr:to>
      <xdr:col>30</xdr:col>
      <xdr:colOff>30480</xdr:colOff>
      <xdr:row>26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571500</xdr:colOff>
      <xdr:row>41</xdr:row>
      <xdr:rowOff>156210</xdr:rowOff>
    </xdr:from>
    <xdr:to>
      <xdr:col>13</xdr:col>
      <xdr:colOff>563880</xdr:colOff>
      <xdr:row>60</xdr:row>
      <xdr:rowOff>7620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586740</xdr:colOff>
      <xdr:row>52</xdr:row>
      <xdr:rowOff>144780</xdr:rowOff>
    </xdr:from>
    <xdr:to>
      <xdr:col>24</xdr:col>
      <xdr:colOff>487680</xdr:colOff>
      <xdr:row>80</xdr:row>
      <xdr:rowOff>22860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70</xdr:row>
      <xdr:rowOff>0</xdr:rowOff>
    </xdr:from>
    <xdr:to>
      <xdr:col>30</xdr:col>
      <xdr:colOff>304800</xdr:colOff>
      <xdr:row>85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593036</xdr:colOff>
      <xdr:row>31</xdr:row>
      <xdr:rowOff>46382</xdr:rowOff>
    </xdr:from>
    <xdr:to>
      <xdr:col>12</xdr:col>
      <xdr:colOff>132522</xdr:colOff>
      <xdr:row>58</xdr:row>
      <xdr:rowOff>159025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13252</xdr:colOff>
      <xdr:row>32</xdr:row>
      <xdr:rowOff>125895</xdr:rowOff>
    </xdr:from>
    <xdr:to>
      <xdr:col>26</xdr:col>
      <xdr:colOff>298174</xdr:colOff>
      <xdr:row>75</xdr:row>
      <xdr:rowOff>26504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599659</xdr:colOff>
      <xdr:row>23</xdr:row>
      <xdr:rowOff>142460</xdr:rowOff>
    </xdr:from>
    <xdr:to>
      <xdr:col>27</xdr:col>
      <xdr:colOff>26503</xdr:colOff>
      <xdr:row>61</xdr:row>
      <xdr:rowOff>132520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0.08439</cdr:x>
      <cdr:y>0.03637</cdr:y>
    </cdr:from>
    <cdr:to>
      <cdr:x>0.97392</cdr:x>
      <cdr:y>0.39483</cdr:y>
    </cdr:to>
    <cdr:grpSp>
      <cdr:nvGrpSpPr>
        <cdr:cNvPr id="5" name="Group 4"/>
        <cdr:cNvGrpSpPr/>
      </cdr:nvGrpSpPr>
      <cdr:grpSpPr>
        <a:xfrm xmlns:a="http://schemas.openxmlformats.org/drawingml/2006/main">
          <a:off x="771942" y="228580"/>
          <a:ext cx="8136809" cy="2252865"/>
          <a:chOff x="771942" y="228580"/>
          <a:chExt cx="8136809" cy="2252865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771942" y="228580"/>
            <a:ext cx="2650434" cy="30481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sv-SE" sz="1100">
                <a:effectLst/>
                <a:latin typeface="+mn-lt"/>
                <a:ea typeface="+mn-ea"/>
                <a:cs typeface="+mn-cs"/>
              </a:rPr>
              <a:t>I----------------EU electricity mix</a:t>
            </a:r>
            <a:r>
              <a:rPr lang="sv-SE" sz="1100" baseline="0">
                <a:effectLst/>
                <a:latin typeface="+mn-lt"/>
                <a:ea typeface="+mn-ea"/>
                <a:cs typeface="+mn-cs"/>
              </a:rPr>
              <a:t> --------------I</a:t>
            </a:r>
            <a:endParaRPr lang="sv-SE" sz="1100"/>
          </a:p>
        </cdr:txBody>
      </cdr:sp>
      <cdr:sp macro="" textlink="">
        <cdr:nvSpPr>
          <cdr:cNvPr id="3" name="TextBox 2"/>
          <cdr:cNvSpPr txBox="1"/>
        </cdr:nvSpPr>
        <cdr:spPr>
          <a:xfrm xmlns:a="http://schemas.openxmlformats.org/drawingml/2006/main">
            <a:off x="3534979" y="2150170"/>
            <a:ext cx="2637262" cy="33127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sv-SE" sz="1100"/>
              <a:t>I----------------NO electricity mix</a:t>
            </a:r>
            <a:r>
              <a:rPr lang="sv-SE" sz="1100" baseline="0"/>
              <a:t> --------------I</a:t>
            </a:r>
            <a:endParaRPr lang="sv-SE" sz="1100"/>
          </a:p>
        </cdr:txBody>
      </cdr:sp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6344485" y="1692948"/>
            <a:ext cx="2564266" cy="29155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sv-SE" sz="1100">
                <a:effectLst/>
                <a:latin typeface="+mn-lt"/>
                <a:ea typeface="+mn-ea"/>
                <a:cs typeface="+mn-cs"/>
              </a:rPr>
              <a:t>I----------------SE electricity mix</a:t>
            </a:r>
            <a:r>
              <a:rPr lang="sv-SE" sz="1100" baseline="0">
                <a:effectLst/>
                <a:latin typeface="+mn-lt"/>
                <a:ea typeface="+mn-ea"/>
                <a:cs typeface="+mn-cs"/>
              </a:rPr>
              <a:t> --------------I</a:t>
            </a:r>
            <a:endParaRPr lang="sv-SE" sz="1100"/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7</xdr:row>
      <xdr:rowOff>171450</xdr:rowOff>
    </xdr:from>
    <xdr:to>
      <xdr:col>8</xdr:col>
      <xdr:colOff>1135380</xdr:colOff>
      <xdr:row>22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1363980</xdr:colOff>
      <xdr:row>48</xdr:row>
      <xdr:rowOff>118110</xdr:rowOff>
    </xdr:from>
    <xdr:to>
      <xdr:col>10</xdr:col>
      <xdr:colOff>38100</xdr:colOff>
      <xdr:row>75</xdr:row>
      <xdr:rowOff>60960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609597</xdr:colOff>
      <xdr:row>30</xdr:row>
      <xdr:rowOff>105508</xdr:rowOff>
    </xdr:from>
    <xdr:to>
      <xdr:col>28</xdr:col>
      <xdr:colOff>398582</xdr:colOff>
      <xdr:row>59</xdr:row>
      <xdr:rowOff>105508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301869</xdr:colOff>
      <xdr:row>29</xdr:row>
      <xdr:rowOff>82061</xdr:rowOff>
    </xdr:from>
    <xdr:to>
      <xdr:col>14</xdr:col>
      <xdr:colOff>574431</xdr:colOff>
      <xdr:row>54</xdr:row>
      <xdr:rowOff>105508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7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ata"/>
    </sheetNames>
    <sheetDataSet>
      <sheetData sheetId="0" refreshError="1"/>
      <sheetData sheetId="1">
        <row r="8">
          <cell r="B8" t="str">
            <v>2012 Product 0 (EU avg)- LD</v>
          </cell>
          <cell r="C8" t="str">
            <v>5000 hour replacement 1 (EU avg) - LD</v>
          </cell>
          <cell r="D8" t="str">
            <v>5000 hour replacement 2 (EU avg) - LD</v>
          </cell>
          <cell r="E8" t="str">
            <v>5000 hour replacement 3 (EU avg) - LD</v>
          </cell>
        </row>
        <row r="9">
          <cell r="A9" t="str">
            <v>Climate change</v>
          </cell>
          <cell r="B9">
            <v>87.968455826284426</v>
          </cell>
          <cell r="C9">
            <v>85.139113611664669</v>
          </cell>
          <cell r="D9">
            <v>90.754981682870678</v>
          </cell>
          <cell r="E9">
            <v>100</v>
          </cell>
        </row>
        <row r="10">
          <cell r="A10" t="str">
            <v>Ozone depletion</v>
          </cell>
          <cell r="B10">
            <v>88.955621749411279</v>
          </cell>
          <cell r="C10">
            <v>83.420335034709595</v>
          </cell>
          <cell r="D10">
            <v>90.186746059062713</v>
          </cell>
          <cell r="E10">
            <v>100</v>
          </cell>
        </row>
        <row r="11">
          <cell r="A11" t="str">
            <v>Terrestrial acidification</v>
          </cell>
          <cell r="B11">
            <v>87.69424417525687</v>
          </cell>
          <cell r="C11">
            <v>85.859289561343573</v>
          </cell>
          <cell r="D11">
            <v>91.294127908163887</v>
          </cell>
          <cell r="E11">
            <v>100</v>
          </cell>
        </row>
        <row r="12">
          <cell r="A12" t="str">
            <v>Freshwater eutrophication</v>
          </cell>
          <cell r="B12">
            <v>86.006413195457128</v>
          </cell>
          <cell r="C12">
            <v>86.039723780793651</v>
          </cell>
          <cell r="D12">
            <v>91.054424642742276</v>
          </cell>
          <cell r="E12">
            <v>100</v>
          </cell>
        </row>
        <row r="13">
          <cell r="A13" t="str">
            <v>Marine eutrophication</v>
          </cell>
          <cell r="B13">
            <v>86.527035741483317</v>
          </cell>
          <cell r="C13">
            <v>89.288608844124695</v>
          </cell>
          <cell r="D13">
            <v>95.575180315462433</v>
          </cell>
          <cell r="E13">
            <v>100</v>
          </cell>
        </row>
        <row r="14">
          <cell r="A14" t="str">
            <v>Human toxicity</v>
          </cell>
          <cell r="B14">
            <v>83.260143147265765</v>
          </cell>
          <cell r="C14">
            <v>89.431200564201134</v>
          </cell>
          <cell r="D14">
            <v>92.871651553087759</v>
          </cell>
          <cell r="E14">
            <v>100</v>
          </cell>
        </row>
        <row r="15">
          <cell r="A15" t="str">
            <v>Photochemical oxidant formation</v>
          </cell>
          <cell r="B15">
            <v>87.048609533058212</v>
          </cell>
          <cell r="C15">
            <v>86.862783885474727</v>
          </cell>
          <cell r="D15">
            <v>91.938712398016335</v>
          </cell>
          <cell r="E15">
            <v>100</v>
          </cell>
        </row>
        <row r="16">
          <cell r="A16" t="str">
            <v>Particulate matter formation</v>
          </cell>
          <cell r="B16">
            <v>86.994666526906045</v>
          </cell>
          <cell r="C16">
            <v>87.152589351299994</v>
          </cell>
          <cell r="D16">
            <v>92.067780048671963</v>
          </cell>
          <cell r="E16">
            <v>100</v>
          </cell>
        </row>
        <row r="17">
          <cell r="A17" t="str">
            <v>Terrestrial ecotoxicity</v>
          </cell>
          <cell r="B17">
            <v>54.554063880456525</v>
          </cell>
          <cell r="C17">
            <v>56.137035314149074</v>
          </cell>
          <cell r="D17">
            <v>95.806820265409542</v>
          </cell>
          <cell r="E17">
            <v>100</v>
          </cell>
        </row>
        <row r="18">
          <cell r="A18" t="str">
            <v>Freshwater ecotoxicity</v>
          </cell>
          <cell r="B18">
            <v>84.669482270208363</v>
          </cell>
          <cell r="C18">
            <v>87.94713272277059</v>
          </cell>
          <cell r="D18">
            <v>92.315829482932486</v>
          </cell>
          <cell r="E18">
            <v>100</v>
          </cell>
        </row>
        <row r="19">
          <cell r="A19" t="str">
            <v>Marine ecotoxicity</v>
          </cell>
          <cell r="B19">
            <v>84.797172271508643</v>
          </cell>
          <cell r="C19">
            <v>87.738412403667638</v>
          </cell>
          <cell r="D19">
            <v>92.250579166881479</v>
          </cell>
          <cell r="E19">
            <v>100</v>
          </cell>
        </row>
        <row r="20">
          <cell r="A20" t="str">
            <v>Ionising radiation</v>
          </cell>
          <cell r="B20">
            <v>89.434047684905408</v>
          </cell>
          <cell r="C20">
            <v>81.990862778147317</v>
          </cell>
          <cell r="D20">
            <v>89.152024091959674</v>
          </cell>
          <cell r="E20">
            <v>100</v>
          </cell>
        </row>
        <row r="21">
          <cell r="A21" t="str">
            <v>Agricultural land occupation</v>
          </cell>
          <cell r="B21">
            <v>89.052901661879318</v>
          </cell>
          <cell r="C21">
            <v>82.803389216722167</v>
          </cell>
          <cell r="D21">
            <v>89.817576532382276</v>
          </cell>
          <cell r="E21">
            <v>100</v>
          </cell>
        </row>
        <row r="22">
          <cell r="A22" t="str">
            <v>Urban land occupation</v>
          </cell>
          <cell r="B22">
            <v>85.516118078151067</v>
          </cell>
          <cell r="C22">
            <v>88.991737413970768</v>
          </cell>
          <cell r="D22">
            <v>92.667145148838316</v>
          </cell>
          <cell r="E22">
            <v>100</v>
          </cell>
        </row>
        <row r="23">
          <cell r="A23" t="str">
            <v>Natural land transformation</v>
          </cell>
          <cell r="B23">
            <v>87.660556228155897</v>
          </cell>
          <cell r="C23">
            <v>85.283617657575235</v>
          </cell>
          <cell r="D23">
            <v>91.354505415595867</v>
          </cell>
          <cell r="E23">
            <v>100</v>
          </cell>
        </row>
        <row r="24">
          <cell r="A24" t="str">
            <v>Water depletion</v>
          </cell>
          <cell r="B24">
            <v>89.043147032684772</v>
          </cell>
          <cell r="C24">
            <v>82.875731851011352</v>
          </cell>
          <cell r="D24">
            <v>89.782903179969892</v>
          </cell>
          <cell r="E24">
            <v>100</v>
          </cell>
        </row>
        <row r="25">
          <cell r="A25" t="str">
            <v>Metal depletion</v>
          </cell>
          <cell r="B25">
            <v>83.590752855630868</v>
          </cell>
          <cell r="C25">
            <v>94.674223066549573</v>
          </cell>
          <cell r="D25">
            <v>99.253548698676482</v>
          </cell>
          <cell r="E25">
            <v>100</v>
          </cell>
        </row>
        <row r="26">
          <cell r="A26" t="str">
            <v>Fossil depletion</v>
          </cell>
          <cell r="B26">
            <v>88.166862465430825</v>
          </cell>
          <cell r="C26">
            <v>84.609859328316489</v>
          </cell>
          <cell r="D26">
            <v>90.518764640475339</v>
          </cell>
          <cell r="E26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ata"/>
    </sheetNames>
    <sheetDataSet>
      <sheetData sheetId="0" refreshError="1"/>
      <sheetData sheetId="1">
        <row r="8">
          <cell r="B8" t="str">
            <v>2012 Product 0 (EU avg)- LD</v>
          </cell>
          <cell r="C8" t="str">
            <v>5000 hour replacement 1 (EU avg) - LD</v>
          </cell>
          <cell r="D8" t="str">
            <v>5000 hour replacement 2 (EU avg) - LD</v>
          </cell>
          <cell r="E8" t="str">
            <v>5000 hour replacement 3 (EU avg) - LD</v>
          </cell>
        </row>
        <row r="9">
          <cell r="A9" t="str">
            <v>Climate change</v>
          </cell>
          <cell r="B9">
            <v>89.247124805841409</v>
          </cell>
          <cell r="C9">
            <v>86.369237868988051</v>
          </cell>
          <cell r="D9">
            <v>90.620600395859014</v>
          </cell>
          <cell r="E9">
            <v>100</v>
          </cell>
        </row>
        <row r="10">
          <cell r="A10" t="str">
            <v>Ozone depletion</v>
          </cell>
          <cell r="B10">
            <v>90.019435348878076</v>
          </cell>
          <cell r="C10">
            <v>84.406805247974205</v>
          </cell>
          <cell r="D10">
            <v>90.069390173160926</v>
          </cell>
          <cell r="E10">
            <v>100</v>
          </cell>
        </row>
        <row r="11">
          <cell r="A11" t="str">
            <v>Terrestrial acidification</v>
          </cell>
          <cell r="B11">
            <v>89.556425809281393</v>
          </cell>
          <cell r="C11">
            <v>87.666472677259236</v>
          </cell>
          <cell r="D11">
            <v>91.109259294945687</v>
          </cell>
          <cell r="E11">
            <v>100</v>
          </cell>
        </row>
        <row r="12">
          <cell r="A12" t="str">
            <v>Freshwater eutrophication</v>
          </cell>
          <cell r="B12">
            <v>89.045715122955102</v>
          </cell>
          <cell r="C12">
            <v>89.079498366381699</v>
          </cell>
          <cell r="D12">
            <v>90.738305313208514</v>
          </cell>
          <cell r="E12">
            <v>100</v>
          </cell>
        </row>
        <row r="13">
          <cell r="A13" t="str">
            <v>Marine eutrophication</v>
          </cell>
          <cell r="B13">
            <v>90.899865998296761</v>
          </cell>
          <cell r="C13">
            <v>93.794392187616481</v>
          </cell>
          <cell r="D13">
            <v>95.351562488194702</v>
          </cell>
          <cell r="E13">
            <v>100</v>
          </cell>
        </row>
        <row r="14">
          <cell r="A14" t="str">
            <v>Human toxicity</v>
          </cell>
          <cell r="B14">
            <v>88.716448575775345</v>
          </cell>
          <cell r="C14">
            <v>95.290313194001669</v>
          </cell>
          <cell r="D14">
            <v>92.404508098832821</v>
          </cell>
          <cell r="E14">
            <v>100</v>
          </cell>
        </row>
        <row r="15">
          <cell r="A15" t="str">
            <v>Photochemical oxidant formation</v>
          </cell>
          <cell r="B15">
            <v>89.368368155989543</v>
          </cell>
          <cell r="C15">
            <v>89.148746923846772</v>
          </cell>
          <cell r="D15">
            <v>91.723887164472728</v>
          </cell>
          <cell r="E15">
            <v>100</v>
          </cell>
        </row>
        <row r="16">
          <cell r="A16" t="str">
            <v>Particulate matter formation</v>
          </cell>
          <cell r="B16">
            <v>89.473756986215776</v>
          </cell>
          <cell r="C16">
            <v>89.619274395245625</v>
          </cell>
          <cell r="D16">
            <v>91.841735265016723</v>
          </cell>
          <cell r="E16">
            <v>100</v>
          </cell>
        </row>
        <row r="17">
          <cell r="A17" t="str">
            <v>Terrestrial ecotoxicity</v>
          </cell>
          <cell r="B17">
            <v>60.302135918641021</v>
          </cell>
          <cell r="C17">
            <v>62.035079108236616</v>
          </cell>
          <cell r="D17">
            <v>95.365007398820438</v>
          </cell>
          <cell r="E17">
            <v>100</v>
          </cell>
        </row>
        <row r="18">
          <cell r="A18" t="str">
            <v>Freshwater ecotoxicity</v>
          </cell>
          <cell r="B18">
            <v>88.907546226086112</v>
          </cell>
          <cell r="C18">
            <v>92.348308190843781</v>
          </cell>
          <cell r="D18">
            <v>91.93120458600248</v>
          </cell>
          <cell r="E18">
            <v>100</v>
          </cell>
        </row>
        <row r="19">
          <cell r="A19" t="str">
            <v>Marine ecotoxicity</v>
          </cell>
          <cell r="B19">
            <v>89.067712920421314</v>
          </cell>
          <cell r="C19">
            <v>92.155375930919618</v>
          </cell>
          <cell r="D19">
            <v>91.860304329438719</v>
          </cell>
          <cell r="E19">
            <v>100</v>
          </cell>
        </row>
        <row r="20">
          <cell r="A20" t="str">
            <v>Ionising radiation</v>
          </cell>
          <cell r="B20">
            <v>89.708524831267525</v>
          </cell>
          <cell r="C20">
            <v>82.24115352027205</v>
          </cell>
          <cell r="D20">
            <v>89.118731019469763</v>
          </cell>
          <cell r="E20">
            <v>100</v>
          </cell>
        </row>
        <row r="21">
          <cell r="A21" t="str">
            <v>Agricultural land occupation</v>
          </cell>
          <cell r="B21">
            <v>89.795380601581812</v>
          </cell>
          <cell r="C21">
            <v>83.493019990429829</v>
          </cell>
          <cell r="D21">
            <v>89.73268060101411</v>
          </cell>
          <cell r="E21">
            <v>100</v>
          </cell>
        </row>
        <row r="22">
          <cell r="A22" t="str">
            <v>Urban land occupation</v>
          </cell>
          <cell r="B22">
            <v>89.133885267352952</v>
          </cell>
          <cell r="C22">
            <v>92.723874829875868</v>
          </cell>
          <cell r="D22">
            <v>92.356928235412113</v>
          </cell>
          <cell r="E22">
            <v>100</v>
          </cell>
        </row>
        <row r="23">
          <cell r="A23" t="str">
            <v>Natural land transformation</v>
          </cell>
          <cell r="B23">
            <v>89.733059736859786</v>
          </cell>
          <cell r="C23">
            <v>87.274871032246239</v>
          </cell>
          <cell r="D23">
            <v>91.150106014967321</v>
          </cell>
          <cell r="E23">
            <v>100</v>
          </cell>
        </row>
        <row r="24">
          <cell r="A24" t="str">
            <v>Water depletion</v>
          </cell>
          <cell r="B24">
            <v>89.749613751398371</v>
          </cell>
          <cell r="C24">
            <v>83.531737306296009</v>
          </cell>
          <cell r="D24">
            <v>89.701840953334909</v>
          </cell>
          <cell r="E24">
            <v>100</v>
          </cell>
        </row>
        <row r="25">
          <cell r="A25" t="str">
            <v>Metal depletion</v>
          </cell>
          <cell r="B25">
            <v>88.294893487936989</v>
          </cell>
          <cell r="C25">
            <v>100</v>
          </cell>
          <cell r="D25">
            <v>93.910438598031192</v>
          </cell>
          <cell r="E25">
            <v>94.698897453337054</v>
          </cell>
        </row>
        <row r="26">
          <cell r="A26" t="str">
            <v>Fossil depletion</v>
          </cell>
          <cell r="B26">
            <v>89.311697419319742</v>
          </cell>
          <cell r="C26">
            <v>85.698702612607462</v>
          </cell>
          <cell r="D26">
            <v>90.39565220267346</v>
          </cell>
          <cell r="E26">
            <v>100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ata"/>
    </sheetNames>
    <sheetDataSet>
      <sheetData sheetId="0" refreshError="1"/>
      <sheetData sheetId="1">
        <row r="8">
          <cell r="B8" t="str">
            <v>2012 LED lamp no replacement</v>
          </cell>
          <cell r="C8" t="str">
            <v>Replacement 1</v>
          </cell>
          <cell r="D8" t="str">
            <v>Replacement 2</v>
          </cell>
          <cell r="E8" t="str">
            <v>Replacement 3</v>
          </cell>
        </row>
        <row r="9">
          <cell r="A9" t="str">
            <v>Climate change</v>
          </cell>
          <cell r="B9">
            <v>1.5325284806876529E-2</v>
          </cell>
          <cell r="C9">
            <v>1.4831101525956016E-2</v>
          </cell>
          <cell r="D9">
            <v>1.5561134473049087E-2</v>
          </cell>
          <cell r="E9">
            <v>1.717174064735073E-2</v>
          </cell>
        </row>
        <row r="10">
          <cell r="A10" t="str">
            <v>Ozone depletion</v>
          </cell>
          <cell r="B10">
            <v>9.2264201799786491E-4</v>
          </cell>
          <cell r="C10">
            <v>8.6511612547805533E-4</v>
          </cell>
          <cell r="D10">
            <v>9.2315402320770153E-4</v>
          </cell>
          <cell r="E10">
            <v>1.0249364644669098E-3</v>
          </cell>
        </row>
        <row r="11">
          <cell r="A11" t="str">
            <v>Terrestrial acidification</v>
          </cell>
          <cell r="B11">
            <v>2.3838690072569269E-2</v>
          </cell>
          <cell r="C11">
            <v>2.3335610516202272E-2</v>
          </cell>
          <cell r="D11">
            <v>2.4252033010996731E-2</v>
          </cell>
          <cell r="E11">
            <v>2.6618626030627937E-2</v>
          </cell>
        </row>
        <row r="12">
          <cell r="A12" t="str">
            <v>Freshwater eutrophication</v>
          </cell>
          <cell r="B12">
            <v>0.43702988826886802</v>
          </cell>
          <cell r="C12">
            <v>0.43719569396855607</v>
          </cell>
          <cell r="D12">
            <v>0.44533699772056967</v>
          </cell>
          <cell r="E12">
            <v>0.49079272109321992</v>
          </cell>
        </row>
        <row r="13">
          <cell r="A13" t="str">
            <v>Marine eutrophication</v>
          </cell>
          <cell r="B13">
            <v>6.5379860007144111E-3</v>
          </cell>
          <cell r="C13">
            <v>6.7461752152598734E-3</v>
          </cell>
          <cell r="D13">
            <v>6.8581749142044238E-3</v>
          </cell>
          <cell r="E13">
            <v>7.1925144541323338E-3</v>
          </cell>
        </row>
        <row r="14">
          <cell r="A14" t="str">
            <v>Human toxicity</v>
          </cell>
          <cell r="B14">
            <v>0.25827419181652705</v>
          </cell>
          <cell r="C14">
            <v>0.27741223891647793</v>
          </cell>
          <cell r="D14">
            <v>0.26901098987348715</v>
          </cell>
          <cell r="E14">
            <v>0.29112323133170276</v>
          </cell>
        </row>
        <row r="15">
          <cell r="A15" t="str">
            <v>Photochemical oxidant formation</v>
          </cell>
          <cell r="B15">
            <v>7.1611277396672196E-3</v>
          </cell>
          <cell r="C15">
            <v>7.1435293910549506E-3</v>
          </cell>
          <cell r="D15">
            <v>7.3498765426386987E-3</v>
          </cell>
          <cell r="E15">
            <v>8.0130452053993814E-3</v>
          </cell>
        </row>
        <row r="16">
          <cell r="A16" t="str">
            <v>Particulate matter formation</v>
          </cell>
          <cell r="B16">
            <v>1.936435237527347E-2</v>
          </cell>
          <cell r="C16">
            <v>1.9395845971609441E-2</v>
          </cell>
          <cell r="D16">
            <v>1.9876841929218934E-2</v>
          </cell>
          <cell r="E16">
            <v>2.1642493874775664E-2</v>
          </cell>
        </row>
        <row r="17">
          <cell r="A17" t="str">
            <v>Terrestrial ecotoxicity</v>
          </cell>
          <cell r="B17">
            <v>1.7379902231399423E-3</v>
          </cell>
          <cell r="C17">
            <v>1.7879360214917239E-3</v>
          </cell>
          <cell r="D17">
            <v>2.7485502455905962E-3</v>
          </cell>
          <cell r="E17">
            <v>2.8821370862962808E-3</v>
          </cell>
        </row>
        <row r="18">
          <cell r="A18" t="str">
            <v>Freshwater ecotoxicity</v>
          </cell>
          <cell r="B18">
            <v>0.41751889248307661</v>
          </cell>
          <cell r="C18">
            <v>0.43367706111783566</v>
          </cell>
          <cell r="D18">
            <v>0.43171830010669143</v>
          </cell>
          <cell r="E18">
            <v>0.46961018519322706</v>
          </cell>
        </row>
        <row r="19">
          <cell r="A19" t="str">
            <v>Marine ecotoxicity</v>
          </cell>
          <cell r="B19">
            <v>0.49875819670263116</v>
          </cell>
          <cell r="C19">
            <v>0.51604838171633838</v>
          </cell>
          <cell r="D19">
            <v>0.51439605030434477</v>
          </cell>
          <cell r="E19">
            <v>0.55997642731463937</v>
          </cell>
        </row>
        <row r="20">
          <cell r="A20" t="str">
            <v>Ionising radiation</v>
          </cell>
          <cell r="B20">
            <v>1.2566466375599836E-2</v>
          </cell>
          <cell r="C20">
            <v>1.1520428993196734E-2</v>
          </cell>
          <cell r="D20">
            <v>1.2483847425857515E-2</v>
          </cell>
          <cell r="E20">
            <v>1.400810725539859E-2</v>
          </cell>
        </row>
        <row r="21">
          <cell r="A21" t="str">
            <v>Agricultural land occupation</v>
          </cell>
          <cell r="B21">
            <v>4.9351847895304059E-3</v>
          </cell>
          <cell r="C21">
            <v>4.5888048976259772E-3</v>
          </cell>
          <cell r="D21">
            <v>4.9317387760825877E-3</v>
          </cell>
          <cell r="E21">
            <v>5.4960341572887778E-3</v>
          </cell>
        </row>
        <row r="22">
          <cell r="A22" t="str">
            <v>Urban land occupation</v>
          </cell>
          <cell r="B22">
            <v>3.2804615948792883E-3</v>
          </cell>
          <cell r="C22">
            <v>3.4125866879406936E-3</v>
          </cell>
          <cell r="D22">
            <v>3.3990816757121906E-3</v>
          </cell>
          <cell r="E22">
            <v>3.680375409463752E-3</v>
          </cell>
        </row>
        <row r="23">
          <cell r="A23" t="str">
            <v>Natural land transformation</v>
          </cell>
          <cell r="B23">
            <v>0.12068695165111924</v>
          </cell>
          <cell r="C23">
            <v>0.11738079779641912</v>
          </cell>
          <cell r="D23">
            <v>0.12259281551171727</v>
          </cell>
          <cell r="E23">
            <v>0.13449552707221948</v>
          </cell>
        </row>
        <row r="24">
          <cell r="A24" t="str">
            <v>Water depletion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Metal depletion</v>
          </cell>
          <cell r="B25">
            <v>2.464525304006349E-2</v>
          </cell>
          <cell r="C25">
            <v>2.7912433059824229E-2</v>
          </cell>
          <cell r="D25">
            <v>2.6212688309862751E-2</v>
          </cell>
          <cell r="E25">
            <v>2.6432766360054281E-2</v>
          </cell>
        </row>
        <row r="26">
          <cell r="A26" t="str">
            <v>Fossil depletion</v>
          </cell>
          <cell r="B26">
            <v>2.9172305997071001E-2</v>
          </cell>
          <cell r="C26">
            <v>2.7992176259166814E-2</v>
          </cell>
          <cell r="D26">
            <v>2.9526363321483111E-2</v>
          </cell>
          <cell r="E26">
            <v>3.2663477282383974E-2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28" workbookViewId="0">
      <selection activeCell="A52" sqref="A52:C53"/>
    </sheetView>
  </sheetViews>
  <sheetFormatPr defaultRowHeight="13.2" x14ac:dyDescent="0.25"/>
  <cols>
    <col min="1" max="1" width="39.6640625" style="7" customWidth="1"/>
    <col min="2" max="2" width="17.109375" style="7" customWidth="1"/>
    <col min="3" max="16384" width="8.88671875" style="7"/>
  </cols>
  <sheetData>
    <row r="1" spans="1:3" x14ac:dyDescent="0.25">
      <c r="A1" s="7" t="s">
        <v>297</v>
      </c>
      <c r="B1" s="7" t="s">
        <v>296</v>
      </c>
      <c r="C1" s="7" t="s">
        <v>61</v>
      </c>
    </row>
    <row r="2" spans="1:3" x14ac:dyDescent="0.25">
      <c r="A2" s="7" t="s">
        <v>41</v>
      </c>
      <c r="B2" s="7" t="s">
        <v>13</v>
      </c>
    </row>
    <row r="5" spans="1:3" x14ac:dyDescent="0.25">
      <c r="A5" s="7" t="s">
        <v>295</v>
      </c>
    </row>
    <row r="7" spans="1:3" x14ac:dyDescent="0.25">
      <c r="A7" s="7" t="s">
        <v>294</v>
      </c>
      <c r="B7" s="7" t="s">
        <v>293</v>
      </c>
    </row>
    <row r="8" spans="1:3" x14ac:dyDescent="0.25">
      <c r="A8" s="7" t="s">
        <v>292</v>
      </c>
      <c r="B8" s="7" t="s">
        <v>291</v>
      </c>
    </row>
    <row r="9" spans="1:3" x14ac:dyDescent="0.25">
      <c r="A9" s="7" t="s">
        <v>290</v>
      </c>
      <c r="B9" s="7" t="s">
        <v>289</v>
      </c>
    </row>
    <row r="10" spans="1:3" x14ac:dyDescent="0.25">
      <c r="A10" s="7" t="s">
        <v>272</v>
      </c>
      <c r="B10" s="7" t="s">
        <v>279</v>
      </c>
    </row>
    <row r="11" spans="1:3" x14ac:dyDescent="0.25">
      <c r="A11" s="7" t="s">
        <v>288</v>
      </c>
      <c r="B11" s="7" t="s">
        <v>211</v>
      </c>
    </row>
    <row r="12" spans="1:3" x14ac:dyDescent="0.25">
      <c r="A12" s="7" t="s">
        <v>287</v>
      </c>
      <c r="B12" s="7" t="s">
        <v>280</v>
      </c>
    </row>
    <row r="13" spans="1:3" x14ac:dyDescent="0.25">
      <c r="A13" s="7" t="s">
        <v>286</v>
      </c>
      <c r="B13" s="7" t="s">
        <v>280</v>
      </c>
    </row>
    <row r="14" spans="1:3" x14ac:dyDescent="0.25">
      <c r="A14" s="7" t="s">
        <v>285</v>
      </c>
      <c r="B14" s="7" t="s">
        <v>280</v>
      </c>
    </row>
    <row r="15" spans="1:3" x14ac:dyDescent="0.25">
      <c r="A15" s="7" t="s">
        <v>284</v>
      </c>
      <c r="B15" s="7" t="s">
        <v>280</v>
      </c>
    </row>
    <row r="16" spans="1:3" x14ac:dyDescent="0.25">
      <c r="A16" s="7" t="s">
        <v>283</v>
      </c>
      <c r="B16" s="7" t="s">
        <v>280</v>
      </c>
    </row>
    <row r="17" spans="1:3" x14ac:dyDescent="0.25">
      <c r="A17" s="7" t="s">
        <v>282</v>
      </c>
      <c r="B17" s="7" t="s">
        <v>280</v>
      </c>
    </row>
    <row r="18" spans="1:3" x14ac:dyDescent="0.25">
      <c r="A18" s="7" t="s">
        <v>281</v>
      </c>
      <c r="B18" s="7" t="s">
        <v>280</v>
      </c>
    </row>
    <row r="19" spans="1:3" x14ac:dyDescent="0.25">
      <c r="A19" s="7" t="s">
        <v>211</v>
      </c>
      <c r="B19" s="7" t="s">
        <v>279</v>
      </c>
    </row>
    <row r="21" spans="1:3" x14ac:dyDescent="0.25">
      <c r="A21" s="7" t="s">
        <v>278</v>
      </c>
    </row>
    <row r="22" spans="1:3" x14ac:dyDescent="0.25">
      <c r="A22" s="7" t="s">
        <v>277</v>
      </c>
      <c r="B22" s="7">
        <v>176</v>
      </c>
      <c r="C22" s="7" t="s">
        <v>266</v>
      </c>
    </row>
    <row r="24" spans="1:3" x14ac:dyDescent="0.25">
      <c r="A24" s="7" t="s">
        <v>276</v>
      </c>
    </row>
    <row r="25" spans="1:3" x14ac:dyDescent="0.25">
      <c r="A25" s="7" t="s">
        <v>270</v>
      </c>
    </row>
    <row r="26" spans="1:3" x14ac:dyDescent="0.25">
      <c r="A26" s="7" t="s">
        <v>90</v>
      </c>
      <c r="B26" s="7">
        <v>12</v>
      </c>
      <c r="C26" s="7" t="s">
        <v>269</v>
      </c>
    </row>
    <row r="27" spans="1:3" x14ac:dyDescent="0.25">
      <c r="A27" s="7" t="s">
        <v>89</v>
      </c>
      <c r="B27" s="7">
        <v>1</v>
      </c>
      <c r="C27" s="7" t="s">
        <v>266</v>
      </c>
    </row>
    <row r="28" spans="1:3" x14ac:dyDescent="0.25">
      <c r="A28" s="7" t="s">
        <v>9</v>
      </c>
      <c r="B28" s="7">
        <v>11.1</v>
      </c>
      <c r="C28" s="7" t="s">
        <v>266</v>
      </c>
    </row>
    <row r="29" spans="1:3" x14ac:dyDescent="0.25">
      <c r="A29" s="7" t="s">
        <v>77</v>
      </c>
      <c r="B29" s="7">
        <v>68.2</v>
      </c>
      <c r="C29" s="7" t="s">
        <v>266</v>
      </c>
    </row>
    <row r="30" spans="1:3" x14ac:dyDescent="0.25">
      <c r="A30" s="7" t="s">
        <v>88</v>
      </c>
      <c r="B30" s="7">
        <v>5</v>
      </c>
      <c r="C30" s="7" t="s">
        <v>266</v>
      </c>
    </row>
    <row r="31" spans="1:3" x14ac:dyDescent="0.25">
      <c r="A31" s="7" t="s">
        <v>87</v>
      </c>
      <c r="B31" s="7">
        <v>3.0000000000000001E-3</v>
      </c>
      <c r="C31" s="7" t="s">
        <v>266</v>
      </c>
    </row>
    <row r="32" spans="1:3" x14ac:dyDescent="0.25">
      <c r="A32" s="7" t="s">
        <v>86</v>
      </c>
      <c r="B32" s="7">
        <v>1.65</v>
      </c>
      <c r="C32" s="7" t="s">
        <v>266</v>
      </c>
    </row>
    <row r="33" spans="1:3" x14ac:dyDescent="0.25">
      <c r="A33" s="7" t="s">
        <v>85</v>
      </c>
      <c r="B33" s="7">
        <v>4</v>
      </c>
      <c r="C33" s="7" t="s">
        <v>266</v>
      </c>
    </row>
    <row r="34" spans="1:3" x14ac:dyDescent="0.25">
      <c r="A34" s="7" t="s">
        <v>84</v>
      </c>
      <c r="B34" s="7">
        <v>2.0000000000000001E-4</v>
      </c>
      <c r="C34" s="7" t="s">
        <v>266</v>
      </c>
    </row>
    <row r="35" spans="1:3" x14ac:dyDescent="0.25">
      <c r="A35" s="7" t="s">
        <v>83</v>
      </c>
      <c r="B35" s="7">
        <v>4.8</v>
      </c>
      <c r="C35" s="7" t="s">
        <v>266</v>
      </c>
    </row>
    <row r="36" spans="1:3" x14ac:dyDescent="0.25">
      <c r="A36" s="7" t="s">
        <v>76</v>
      </c>
      <c r="B36" s="7">
        <v>0.158</v>
      </c>
      <c r="C36" s="7" t="s">
        <v>266</v>
      </c>
    </row>
    <row r="37" spans="1:3" x14ac:dyDescent="0.25">
      <c r="A37" s="7" t="s">
        <v>57</v>
      </c>
      <c r="B37" s="7">
        <v>0.99299999999999999</v>
      </c>
      <c r="C37" s="7" t="s">
        <v>266</v>
      </c>
    </row>
    <row r="38" spans="1:3" x14ac:dyDescent="0.25">
      <c r="A38" s="7" t="s">
        <v>36</v>
      </c>
      <c r="B38" s="7">
        <v>24.73</v>
      </c>
      <c r="C38" s="7" t="s">
        <v>266</v>
      </c>
    </row>
    <row r="39" spans="1:3" x14ac:dyDescent="0.25">
      <c r="A39" s="7" t="s">
        <v>37</v>
      </c>
      <c r="B39" s="7">
        <v>1.091</v>
      </c>
      <c r="C39" s="7" t="s">
        <v>266</v>
      </c>
    </row>
    <row r="40" spans="1:3" x14ac:dyDescent="0.25">
      <c r="A40" s="7" t="s">
        <v>12</v>
      </c>
      <c r="B40" s="7">
        <v>15</v>
      </c>
      <c r="C40" s="7" t="s">
        <v>266</v>
      </c>
    </row>
    <row r="41" spans="1:3" x14ac:dyDescent="0.25">
      <c r="A41" s="7" t="s">
        <v>71</v>
      </c>
      <c r="B41" s="7">
        <v>0.99299999999999999</v>
      </c>
      <c r="C41" s="7" t="s">
        <v>266</v>
      </c>
    </row>
    <row r="42" spans="1:3" x14ac:dyDescent="0.25">
      <c r="A42" s="7" t="s">
        <v>82</v>
      </c>
      <c r="B42" s="7">
        <v>1.5680000000000001</v>
      </c>
      <c r="C42" s="7" t="s">
        <v>266</v>
      </c>
    </row>
    <row r="43" spans="1:3" x14ac:dyDescent="0.25">
      <c r="A43" s="7" t="s">
        <v>81</v>
      </c>
      <c r="B43" s="7">
        <v>1.387</v>
      </c>
      <c r="C43" s="7" t="s">
        <v>266</v>
      </c>
    </row>
    <row r="44" spans="1:3" x14ac:dyDescent="0.25">
      <c r="A44" s="7" t="s">
        <v>1</v>
      </c>
      <c r="B44" s="7">
        <v>30.15</v>
      </c>
      <c r="C44" s="7" t="s">
        <v>266</v>
      </c>
    </row>
    <row r="45" spans="1:3" x14ac:dyDescent="0.25">
      <c r="A45" s="7" t="s">
        <v>80</v>
      </c>
      <c r="B45" s="7">
        <v>4.5</v>
      </c>
      <c r="C45" s="7" t="s">
        <v>266</v>
      </c>
    </row>
    <row r="46" spans="1:3" x14ac:dyDescent="0.25">
      <c r="A46" s="7" t="s">
        <v>35</v>
      </c>
      <c r="B46" s="7">
        <v>0.3</v>
      </c>
      <c r="C46" s="7" t="s">
        <v>266</v>
      </c>
    </row>
    <row r="48" spans="1:3" x14ac:dyDescent="0.25">
      <c r="A48" s="7" t="s">
        <v>268</v>
      </c>
    </row>
    <row r="49" spans="1:3" x14ac:dyDescent="0.25">
      <c r="A49" s="7" t="s">
        <v>2</v>
      </c>
      <c r="B49" s="7">
        <v>1.389</v>
      </c>
      <c r="C49" s="7" t="s">
        <v>275</v>
      </c>
    </row>
    <row r="50" spans="1:3" x14ac:dyDescent="0.25">
      <c r="A50" s="7" t="s">
        <v>63</v>
      </c>
      <c r="B50" s="7">
        <v>176</v>
      </c>
      <c r="C50" s="7" t="s">
        <v>266</v>
      </c>
    </row>
    <row r="52" spans="1:3" x14ac:dyDescent="0.25">
      <c r="A52" s="7" t="s">
        <v>274</v>
      </c>
    </row>
    <row r="53" spans="1:3" x14ac:dyDescent="0.25">
      <c r="A53" s="7" t="s">
        <v>8</v>
      </c>
      <c r="B53" s="7">
        <v>37</v>
      </c>
      <c r="C53" s="7" t="s">
        <v>266</v>
      </c>
    </row>
    <row r="56" spans="1:3" x14ac:dyDescent="0.25">
      <c r="A56" s="7" t="s">
        <v>273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workbookViewId="0">
      <selection activeCell="G30" sqref="G30"/>
    </sheetView>
  </sheetViews>
  <sheetFormatPr defaultRowHeight="13.2" x14ac:dyDescent="0.25"/>
  <sheetData>
    <row r="1" spans="1:15" x14ac:dyDescent="0.25">
      <c r="A1" s="5" t="s">
        <v>130</v>
      </c>
      <c r="B1" s="5"/>
      <c r="C1" s="5"/>
      <c r="D1" s="5"/>
      <c r="E1" s="5"/>
      <c r="F1" s="5"/>
      <c r="G1" s="5"/>
      <c r="H1" s="5"/>
      <c r="I1" s="5"/>
      <c r="J1" s="5" t="s">
        <v>131</v>
      </c>
      <c r="K1" s="5"/>
      <c r="L1" s="5"/>
    </row>
    <row r="2" spans="1:15" x14ac:dyDescent="0.25">
      <c r="A2" s="7" t="s">
        <v>69</v>
      </c>
      <c r="B2" s="7" t="s">
        <v>27</v>
      </c>
      <c r="C2" s="7"/>
      <c r="D2" s="7"/>
      <c r="E2" s="7"/>
      <c r="F2" s="7"/>
      <c r="J2" s="6" t="s">
        <v>69</v>
      </c>
      <c r="K2" s="6" t="s">
        <v>27</v>
      </c>
      <c r="L2" s="6"/>
      <c r="M2" s="6"/>
      <c r="N2" s="6"/>
      <c r="O2" s="6"/>
    </row>
    <row r="3" spans="1:15" x14ac:dyDescent="0.25">
      <c r="A3" s="7" t="s">
        <v>39</v>
      </c>
      <c r="B3" s="7" t="s">
        <v>40</v>
      </c>
      <c r="C3" s="7"/>
      <c r="D3" s="7"/>
      <c r="E3" s="7"/>
      <c r="F3" s="7"/>
      <c r="J3" s="6" t="s">
        <v>39</v>
      </c>
      <c r="K3" s="6" t="s">
        <v>40</v>
      </c>
      <c r="L3" s="6"/>
      <c r="M3" s="6"/>
      <c r="N3" s="6"/>
      <c r="O3" s="6"/>
    </row>
    <row r="4" spans="1:15" x14ac:dyDescent="0.25">
      <c r="A4" s="3" t="s">
        <v>67</v>
      </c>
      <c r="B4" s="3" t="s">
        <v>128</v>
      </c>
      <c r="C4" s="3"/>
      <c r="D4" s="3"/>
      <c r="E4" s="3"/>
      <c r="F4" s="3"/>
      <c r="G4" s="3"/>
      <c r="H4" s="3"/>
      <c r="I4" s="3"/>
      <c r="J4" s="3" t="s">
        <v>67</v>
      </c>
      <c r="K4" s="3" t="s">
        <v>125</v>
      </c>
      <c r="L4" s="3"/>
      <c r="M4" s="3"/>
      <c r="N4" s="3"/>
      <c r="O4" s="3"/>
    </row>
    <row r="5" spans="1:15" x14ac:dyDescent="0.25">
      <c r="A5" s="7" t="s">
        <v>49</v>
      </c>
      <c r="B5" s="7" t="s">
        <v>58</v>
      </c>
      <c r="C5" s="7"/>
      <c r="D5" s="7"/>
      <c r="E5" s="7"/>
      <c r="F5" s="7"/>
      <c r="J5" s="6" t="s">
        <v>49</v>
      </c>
      <c r="K5" s="6" t="s">
        <v>58</v>
      </c>
      <c r="L5" s="6"/>
      <c r="M5" s="6"/>
      <c r="N5" s="6"/>
      <c r="O5" s="6"/>
    </row>
    <row r="6" spans="1:15" x14ac:dyDescent="0.25">
      <c r="A6" s="7" t="s">
        <v>60</v>
      </c>
      <c r="B6" s="7" t="s">
        <v>62</v>
      </c>
      <c r="C6" s="7"/>
      <c r="D6" s="7"/>
      <c r="E6" s="7"/>
      <c r="F6" s="7"/>
      <c r="J6" s="6" t="s">
        <v>60</v>
      </c>
      <c r="K6" s="6" t="s">
        <v>62</v>
      </c>
      <c r="L6" s="6"/>
      <c r="M6" s="6"/>
      <c r="N6" s="6"/>
      <c r="O6" s="6"/>
    </row>
    <row r="8" spans="1:15" x14ac:dyDescent="0.25">
      <c r="A8" s="7" t="s">
        <v>22</v>
      </c>
      <c r="B8" s="7" t="s">
        <v>43</v>
      </c>
      <c r="C8" s="7" t="s">
        <v>48</v>
      </c>
      <c r="D8" s="7"/>
      <c r="E8" s="7" t="s">
        <v>129</v>
      </c>
      <c r="F8" s="7" t="s">
        <v>127</v>
      </c>
      <c r="J8" s="6" t="s">
        <v>22</v>
      </c>
      <c r="K8" s="6" t="s">
        <v>43</v>
      </c>
      <c r="L8" s="6" t="s">
        <v>48</v>
      </c>
      <c r="M8" s="6"/>
      <c r="N8" s="6" t="s">
        <v>126</v>
      </c>
      <c r="O8" s="6" t="s">
        <v>127</v>
      </c>
    </row>
    <row r="9" spans="1:15" x14ac:dyDescent="0.25">
      <c r="A9" s="7" t="s">
        <v>18</v>
      </c>
      <c r="B9" s="7" t="s">
        <v>59</v>
      </c>
      <c r="C9" s="7">
        <v>9.5679898284919504E-2</v>
      </c>
      <c r="D9" s="7"/>
      <c r="E9" s="7">
        <v>4.4676355404965902E-2</v>
      </c>
      <c r="F9" s="7">
        <v>5.1003542879953602E-2</v>
      </c>
      <c r="J9" s="6" t="s">
        <v>18</v>
      </c>
      <c r="K9" s="6" t="s">
        <v>59</v>
      </c>
      <c r="L9" s="6">
        <v>8.4517682719124798E-2</v>
      </c>
      <c r="M9" s="6"/>
      <c r="N9" s="6">
        <v>3.3514139839171203E-2</v>
      </c>
      <c r="O9" s="6">
        <v>5.1003542879953602E-2</v>
      </c>
    </row>
    <row r="10" spans="1:15" x14ac:dyDescent="0.25">
      <c r="A10" s="7" t="s">
        <v>66</v>
      </c>
      <c r="B10" s="7" t="s">
        <v>0</v>
      </c>
      <c r="C10" s="7">
        <v>3.97883795817606E-9</v>
      </c>
      <c r="D10" s="7"/>
      <c r="E10" s="7">
        <v>2.6385636096431098E-9</v>
      </c>
      <c r="F10" s="7">
        <v>1.34027434853295E-9</v>
      </c>
      <c r="J10" s="6" t="s">
        <v>66</v>
      </c>
      <c r="K10" s="6" t="s">
        <v>0</v>
      </c>
      <c r="L10" s="6">
        <v>3.3196029886282999E-9</v>
      </c>
      <c r="M10" s="6"/>
      <c r="N10" s="6">
        <v>1.9793286400953501E-9</v>
      </c>
      <c r="O10" s="6">
        <v>1.34027434853295E-9</v>
      </c>
    </row>
    <row r="11" spans="1:15" x14ac:dyDescent="0.25">
      <c r="A11" s="7" t="s">
        <v>47</v>
      </c>
      <c r="B11" s="7" t="s">
        <v>28</v>
      </c>
      <c r="C11" s="7">
        <v>5.0944605261930896E-4</v>
      </c>
      <c r="D11" s="7"/>
      <c r="E11" s="7">
        <v>2.5746236226482602E-4</v>
      </c>
      <c r="F11" s="7">
        <v>2.5198369035448398E-4</v>
      </c>
      <c r="J11" s="6" t="s">
        <v>47</v>
      </c>
      <c r="K11" s="6" t="s">
        <v>28</v>
      </c>
      <c r="L11" s="6">
        <v>4.45120071647297E-4</v>
      </c>
      <c r="M11" s="6"/>
      <c r="N11" s="6">
        <v>1.93136381292814E-4</v>
      </c>
      <c r="O11" s="6">
        <v>2.5198369035448398E-4</v>
      </c>
    </row>
    <row r="12" spans="1:15" x14ac:dyDescent="0.25">
      <c r="A12" s="7" t="s">
        <v>45</v>
      </c>
      <c r="B12" s="7" t="s">
        <v>34</v>
      </c>
      <c r="C12" s="7">
        <v>5.7419938358619499E-5</v>
      </c>
      <c r="D12" s="7"/>
      <c r="E12" s="7">
        <v>1.4014641414399501E-5</v>
      </c>
      <c r="F12" s="7">
        <v>4.34052969442199E-5</v>
      </c>
      <c r="J12" s="6" t="s">
        <v>45</v>
      </c>
      <c r="K12" s="6" t="s">
        <v>34</v>
      </c>
      <c r="L12" s="6">
        <v>5.3918434103698701E-5</v>
      </c>
      <c r="M12" s="6"/>
      <c r="N12" s="6">
        <v>1.05131371594788E-5</v>
      </c>
      <c r="O12" s="6">
        <v>4.34052969442199E-5</v>
      </c>
    </row>
    <row r="13" spans="1:15" x14ac:dyDescent="0.25">
      <c r="A13" s="7" t="s">
        <v>15</v>
      </c>
      <c r="B13" s="7" t="s">
        <v>65</v>
      </c>
      <c r="C13" s="7">
        <v>2.17419557358772E-5</v>
      </c>
      <c r="D13" s="7"/>
      <c r="E13" s="7">
        <v>1.02253218125267E-5</v>
      </c>
      <c r="F13" s="7">
        <v>1.15166339233506E-5</v>
      </c>
      <c r="J13" s="6" t="s">
        <v>15</v>
      </c>
      <c r="K13" s="6" t="s">
        <v>65</v>
      </c>
      <c r="L13" s="6">
        <v>1.9187198409178201E-5</v>
      </c>
      <c r="M13" s="6"/>
      <c r="N13" s="6">
        <v>7.6705644858276906E-6</v>
      </c>
      <c r="O13" s="6">
        <v>1.15166339233506E-5</v>
      </c>
    </row>
    <row r="14" spans="1:15" x14ac:dyDescent="0.25">
      <c r="A14" s="7" t="s">
        <v>56</v>
      </c>
      <c r="B14" s="7" t="s">
        <v>21</v>
      </c>
      <c r="C14" s="7">
        <v>7.2701826367207706E-2</v>
      </c>
      <c r="D14" s="7"/>
      <c r="E14" s="7">
        <v>1.12569903143889E-2</v>
      </c>
      <c r="F14" s="7">
        <v>6.1444836052818801E-2</v>
      </c>
      <c r="J14" s="6" t="s">
        <v>56</v>
      </c>
      <c r="K14" s="6" t="s">
        <v>21</v>
      </c>
      <c r="L14" s="6">
        <v>6.9889310633274193E-2</v>
      </c>
      <c r="M14" s="6"/>
      <c r="N14" s="6">
        <v>8.4444745804553908E-3</v>
      </c>
      <c r="O14" s="6">
        <v>6.1444836052818801E-2</v>
      </c>
    </row>
    <row r="15" spans="1:15" x14ac:dyDescent="0.25">
      <c r="A15" s="7" t="s">
        <v>26</v>
      </c>
      <c r="B15" s="7" t="s">
        <v>3</v>
      </c>
      <c r="C15" s="7">
        <v>3.3063222865959698E-4</v>
      </c>
      <c r="D15" s="7"/>
      <c r="E15" s="7">
        <v>1.7527573816995999E-4</v>
      </c>
      <c r="F15" s="7">
        <v>1.5535649048963799E-4</v>
      </c>
      <c r="J15" s="6" t="s">
        <v>26</v>
      </c>
      <c r="K15" s="6" t="s">
        <v>3</v>
      </c>
      <c r="L15" s="6">
        <v>2.8684025961528702E-4</v>
      </c>
      <c r="M15" s="6"/>
      <c r="N15" s="6">
        <v>1.3148376912564899E-4</v>
      </c>
      <c r="O15" s="6">
        <v>1.5535649048963799E-4</v>
      </c>
    </row>
    <row r="16" spans="1:15" x14ac:dyDescent="0.25">
      <c r="A16" s="7" t="s">
        <v>31</v>
      </c>
      <c r="B16" s="7" t="s">
        <v>5</v>
      </c>
      <c r="C16" s="7">
        <v>2.31389080061785E-4</v>
      </c>
      <c r="D16" s="7"/>
      <c r="E16" s="7">
        <v>1.07071865742799E-4</v>
      </c>
      <c r="F16" s="7">
        <v>1.2431721431898599E-4</v>
      </c>
      <c r="J16" s="6" t="s">
        <v>31</v>
      </c>
      <c r="K16" s="6" t="s">
        <v>5</v>
      </c>
      <c r="L16" s="6">
        <v>2.04637586220814E-4</v>
      </c>
      <c r="M16" s="6"/>
      <c r="N16" s="6">
        <v>8.0320371901828699E-5</v>
      </c>
      <c r="O16" s="6">
        <v>1.2431721431898599E-4</v>
      </c>
    </row>
    <row r="17" spans="1:15" x14ac:dyDescent="0.25">
      <c r="A17" s="7" t="s">
        <v>64</v>
      </c>
      <c r="B17" s="7" t="s">
        <v>21</v>
      </c>
      <c r="C17" s="7">
        <v>5.2005904042456101E-6</v>
      </c>
      <c r="D17" s="7"/>
      <c r="E17" s="7">
        <v>3.2723163276309401E-6</v>
      </c>
      <c r="F17" s="7">
        <v>1.9282740766146598E-6</v>
      </c>
      <c r="J17" s="6" t="s">
        <v>64</v>
      </c>
      <c r="K17" s="6" t="s">
        <v>21</v>
      </c>
      <c r="L17" s="6">
        <v>4.3830147556190401E-6</v>
      </c>
      <c r="M17" s="6"/>
      <c r="N17" s="6">
        <v>2.4547406790043798E-6</v>
      </c>
      <c r="O17" s="6">
        <v>1.9282740766146598E-6</v>
      </c>
    </row>
    <row r="18" spans="1:15" x14ac:dyDescent="0.25">
      <c r="A18" s="7" t="s">
        <v>6</v>
      </c>
      <c r="B18" s="7" t="s">
        <v>21</v>
      </c>
      <c r="C18" s="7">
        <v>1.69509337698801E-3</v>
      </c>
      <c r="D18" s="7"/>
      <c r="E18" s="7">
        <v>3.3323191429439201E-4</v>
      </c>
      <c r="F18" s="7">
        <v>1.36186146269362E-3</v>
      </c>
      <c r="J18" s="6" t="s">
        <v>6</v>
      </c>
      <c r="K18" s="6" t="s">
        <v>21</v>
      </c>
      <c r="L18" s="6">
        <v>1.61183666486277E-3</v>
      </c>
      <c r="M18" s="6"/>
      <c r="N18" s="6">
        <v>2.49975202169148E-4</v>
      </c>
      <c r="O18" s="6">
        <v>1.36186146269362E-3</v>
      </c>
    </row>
    <row r="19" spans="1:15" x14ac:dyDescent="0.25">
      <c r="A19" s="7" t="s">
        <v>14</v>
      </c>
      <c r="B19" s="7" t="s">
        <v>21</v>
      </c>
      <c r="C19" s="7">
        <v>1.58496988929275E-3</v>
      </c>
      <c r="D19" s="7"/>
      <c r="E19" s="7">
        <v>3.2802061532403402E-4</v>
      </c>
      <c r="F19" s="7">
        <v>1.25694927396871E-3</v>
      </c>
      <c r="J19" s="6" t="s">
        <v>14</v>
      </c>
      <c r="K19" s="6" t="s">
        <v>21</v>
      </c>
      <c r="L19" s="6">
        <v>1.5030152001717901E-3</v>
      </c>
      <c r="M19" s="6"/>
      <c r="N19" s="6">
        <v>2.4606592620307502E-4</v>
      </c>
      <c r="O19" s="6">
        <v>1.25694927396871E-3</v>
      </c>
    </row>
    <row r="20" spans="1:15" x14ac:dyDescent="0.25">
      <c r="A20" s="7" t="s">
        <v>50</v>
      </c>
      <c r="B20" s="7" t="s">
        <v>68</v>
      </c>
      <c r="C20" s="7">
        <v>5.4569857018077501E-3</v>
      </c>
      <c r="D20" s="7"/>
      <c r="E20" s="7">
        <v>2.8068021452637101E-3</v>
      </c>
      <c r="F20" s="7">
        <v>2.65018355654404E-3</v>
      </c>
      <c r="J20" s="6" t="s">
        <v>50</v>
      </c>
      <c r="K20" s="6" t="s">
        <v>68</v>
      </c>
      <c r="L20" s="6">
        <v>4.7557169812064704E-3</v>
      </c>
      <c r="M20" s="6"/>
      <c r="N20" s="6">
        <v>2.1055334246624299E-3</v>
      </c>
      <c r="O20" s="6">
        <v>2.65018355654404E-3</v>
      </c>
    </row>
    <row r="21" spans="1:15" x14ac:dyDescent="0.25">
      <c r="A21" s="7" t="s">
        <v>7</v>
      </c>
      <c r="B21" s="7" t="s">
        <v>10</v>
      </c>
      <c r="C21" s="7">
        <v>3.16881702151253E-3</v>
      </c>
      <c r="D21" s="7"/>
      <c r="E21" s="7">
        <v>1.6967945613271401E-3</v>
      </c>
      <c r="F21" s="7">
        <v>1.47202246018538E-3</v>
      </c>
      <c r="J21" s="6" t="s">
        <v>7</v>
      </c>
      <c r="K21" s="6" t="s">
        <v>10</v>
      </c>
      <c r="L21" s="6">
        <v>2.74487942649787E-3</v>
      </c>
      <c r="M21" s="6"/>
      <c r="N21" s="6">
        <v>1.27285696631249E-3</v>
      </c>
      <c r="O21" s="6">
        <v>1.47202246018538E-3</v>
      </c>
    </row>
    <row r="22" spans="1:15" x14ac:dyDescent="0.25">
      <c r="A22" s="7" t="s">
        <v>24</v>
      </c>
      <c r="B22" s="7" t="s">
        <v>10</v>
      </c>
      <c r="C22" s="7">
        <v>1.3824269940258501E-3</v>
      </c>
      <c r="D22" s="7"/>
      <c r="E22" s="7">
        <v>7.7395015700453397E-4</v>
      </c>
      <c r="F22" s="7">
        <v>6.0847683702131201E-4</v>
      </c>
      <c r="J22" s="6" t="s">
        <v>24</v>
      </c>
      <c r="K22" s="6" t="s">
        <v>10</v>
      </c>
      <c r="L22" s="6">
        <v>1.18905852402964E-3</v>
      </c>
      <c r="M22" s="6"/>
      <c r="N22" s="6">
        <v>5.8058168700832397E-4</v>
      </c>
      <c r="O22" s="6">
        <v>6.0847683702131201E-4</v>
      </c>
    </row>
    <row r="23" spans="1:15" x14ac:dyDescent="0.25">
      <c r="A23" s="7" t="s">
        <v>46</v>
      </c>
      <c r="B23" s="7" t="s">
        <v>33</v>
      </c>
      <c r="C23" s="7">
        <v>9.1438740248614499E-6</v>
      </c>
      <c r="D23" s="7"/>
      <c r="E23" s="7">
        <v>4.7930095055297096E-6</v>
      </c>
      <c r="F23" s="7">
        <v>4.3508645193317301E-6</v>
      </c>
      <c r="J23" s="6" t="s">
        <v>46</v>
      </c>
      <c r="K23" s="6" t="s">
        <v>33</v>
      </c>
      <c r="L23" s="6">
        <v>7.9463590345567998E-6</v>
      </c>
      <c r="M23" s="6"/>
      <c r="N23" s="6">
        <v>3.5954945152250599E-6</v>
      </c>
      <c r="O23" s="6">
        <v>4.3508645193317301E-6</v>
      </c>
    </row>
    <row r="24" spans="1:15" x14ac:dyDescent="0.25">
      <c r="A24" s="7" t="s">
        <v>44</v>
      </c>
      <c r="B24" s="7" t="s">
        <v>73</v>
      </c>
      <c r="C24" s="7">
        <v>6.33258949404672E-4</v>
      </c>
      <c r="D24" s="7"/>
      <c r="E24" s="7">
        <v>4.1121105107413801E-4</v>
      </c>
      <c r="F24" s="7">
        <v>2.2204789833053399E-4</v>
      </c>
      <c r="J24" s="6" t="s">
        <v>44</v>
      </c>
      <c r="K24" s="6" t="s">
        <v>73</v>
      </c>
      <c r="L24" s="6">
        <v>5.3051944987476398E-4</v>
      </c>
      <c r="M24" s="6"/>
      <c r="N24" s="6">
        <v>3.0847155154422999E-4</v>
      </c>
      <c r="O24" s="6">
        <v>2.2204789833053399E-4</v>
      </c>
    </row>
    <row r="25" spans="1:15" x14ac:dyDescent="0.25">
      <c r="A25" s="7" t="s">
        <v>32</v>
      </c>
      <c r="B25" s="7" t="s">
        <v>29</v>
      </c>
      <c r="C25" s="7">
        <v>1.7316071546783801E-2</v>
      </c>
      <c r="D25" s="7"/>
      <c r="E25" s="7">
        <v>1.19676791889842E-2</v>
      </c>
      <c r="F25" s="7">
        <v>5.3483923577996098E-3</v>
      </c>
      <c r="J25" s="6" t="s">
        <v>32</v>
      </c>
      <c r="K25" s="6" t="s">
        <v>29</v>
      </c>
      <c r="L25" s="6">
        <v>1.43259929309514E-2</v>
      </c>
      <c r="M25" s="6"/>
      <c r="N25" s="6">
        <v>8.9776005731518303E-3</v>
      </c>
      <c r="O25" s="6">
        <v>5.3483923577996098E-3</v>
      </c>
    </row>
    <row r="26" spans="1:15" x14ac:dyDescent="0.25">
      <c r="A26" s="7" t="s">
        <v>53</v>
      </c>
      <c r="B26" s="7" t="s">
        <v>52</v>
      </c>
      <c r="C26" s="7">
        <v>2.30003909400508E-2</v>
      </c>
      <c r="D26" s="7"/>
      <c r="E26" s="7">
        <v>1.1847558595936E-2</v>
      </c>
      <c r="F26" s="7">
        <v>1.11528323441147E-2</v>
      </c>
      <c r="J26" s="6" t="s">
        <v>53</v>
      </c>
      <c r="K26" s="6" t="s">
        <v>52</v>
      </c>
      <c r="L26" s="6">
        <v>2.0040323992389201E-2</v>
      </c>
      <c r="M26" s="6"/>
      <c r="N26" s="6">
        <v>8.8874916482744697E-3</v>
      </c>
      <c r="O26" s="6">
        <v>1.11528323441147E-2</v>
      </c>
    </row>
    <row r="31" spans="1:15" x14ac:dyDescent="0.25">
      <c r="A31" s="5" t="s">
        <v>132</v>
      </c>
    </row>
    <row r="33" spans="1:9" x14ac:dyDescent="0.25">
      <c r="A33" s="4" t="s">
        <v>69</v>
      </c>
      <c r="B33" s="4" t="s">
        <v>27</v>
      </c>
      <c r="C33" s="4"/>
      <c r="D33" s="4"/>
      <c r="E33" s="4"/>
      <c r="F33" s="4"/>
      <c r="G33" s="4"/>
      <c r="H33" s="4"/>
      <c r="I33" s="4"/>
    </row>
    <row r="34" spans="1:9" x14ac:dyDescent="0.25">
      <c r="A34" s="4" t="s">
        <v>39</v>
      </c>
      <c r="B34" s="4" t="s">
        <v>40</v>
      </c>
      <c r="C34" s="4"/>
      <c r="D34" s="4"/>
      <c r="E34" s="4"/>
      <c r="F34" s="4"/>
      <c r="G34" s="4"/>
      <c r="H34" s="4"/>
      <c r="I34" s="4"/>
    </row>
    <row r="35" spans="1:9" x14ac:dyDescent="0.25">
      <c r="A35" s="3" t="s">
        <v>67</v>
      </c>
      <c r="B35" s="3" t="s">
        <v>104</v>
      </c>
      <c r="C35" s="3"/>
      <c r="D35" s="3"/>
      <c r="E35" s="3"/>
      <c r="F35" s="3"/>
      <c r="G35" s="3"/>
      <c r="H35" s="3"/>
      <c r="I35" s="3"/>
    </row>
    <row r="36" spans="1:9" x14ac:dyDescent="0.25">
      <c r="A36" s="4" t="s">
        <v>49</v>
      </c>
      <c r="B36" s="4" t="s">
        <v>58</v>
      </c>
      <c r="C36" s="4"/>
      <c r="D36" s="4"/>
      <c r="E36" s="4"/>
      <c r="F36" s="4"/>
      <c r="G36" s="4"/>
      <c r="H36" s="4"/>
      <c r="I36" s="4"/>
    </row>
    <row r="37" spans="1:9" x14ac:dyDescent="0.25">
      <c r="A37" s="4" t="s">
        <v>60</v>
      </c>
      <c r="B37" s="4" t="s">
        <v>62</v>
      </c>
      <c r="C37" s="4"/>
      <c r="D37" s="4"/>
      <c r="E37" s="4"/>
      <c r="F37" s="4"/>
      <c r="G37" s="4"/>
      <c r="H37" s="4"/>
      <c r="I37" s="4"/>
    </row>
    <row r="38" spans="1:9" x14ac:dyDescent="0.25">
      <c r="A38" s="4" t="s">
        <v>42</v>
      </c>
      <c r="B38" s="4" t="s">
        <v>70</v>
      </c>
      <c r="C38" s="4"/>
      <c r="D38" s="4"/>
      <c r="E38" s="4"/>
      <c r="F38" s="4"/>
      <c r="G38" s="4"/>
      <c r="H38" s="4"/>
      <c r="I38" s="4"/>
    </row>
    <row r="39" spans="1:9" x14ac:dyDescent="0.25">
      <c r="A39" s="4" t="s">
        <v>19</v>
      </c>
      <c r="B39" s="4" t="s">
        <v>16</v>
      </c>
      <c r="C39" s="4"/>
      <c r="D39" s="4"/>
      <c r="E39" s="4"/>
      <c r="F39" s="4"/>
      <c r="G39" s="4"/>
      <c r="H39" s="4"/>
      <c r="I39" s="4"/>
    </row>
    <row r="40" spans="1:9" x14ac:dyDescent="0.25">
      <c r="A40" s="4" t="s">
        <v>54</v>
      </c>
      <c r="B40" s="4" t="s">
        <v>16</v>
      </c>
      <c r="C40" s="4"/>
      <c r="D40" s="4"/>
      <c r="E40" s="4"/>
      <c r="F40" s="4"/>
      <c r="G40" s="4"/>
      <c r="H40" s="4"/>
      <c r="I40" s="4"/>
    </row>
    <row r="41" spans="1:9" x14ac:dyDescent="0.25">
      <c r="A41" s="4" t="s">
        <v>55</v>
      </c>
      <c r="B41" s="4" t="s">
        <v>22</v>
      </c>
      <c r="C41" s="4"/>
      <c r="D41" s="4"/>
      <c r="E41" s="4"/>
      <c r="F41" s="4"/>
      <c r="G41" s="4"/>
      <c r="H41" s="4"/>
      <c r="I41" s="4"/>
    </row>
    <row r="42" spans="1:9" x14ac:dyDescent="0.25">
      <c r="A42" s="4" t="s">
        <v>23</v>
      </c>
      <c r="B42" s="4" t="s">
        <v>72</v>
      </c>
      <c r="C42" s="4"/>
      <c r="D42" s="4"/>
      <c r="E42" s="4"/>
      <c r="F42" s="4"/>
      <c r="G42" s="4"/>
      <c r="H42" s="4"/>
      <c r="I42" s="4"/>
    </row>
    <row r="44" spans="1:9" x14ac:dyDescent="0.25">
      <c r="A44" s="4" t="s">
        <v>22</v>
      </c>
      <c r="B44" s="4" t="s">
        <v>43</v>
      </c>
      <c r="C44" s="4" t="s">
        <v>48</v>
      </c>
      <c r="D44" s="4"/>
      <c r="E44" s="4" t="s">
        <v>105</v>
      </c>
      <c r="F44" s="4" t="s">
        <v>106</v>
      </c>
      <c r="G44" s="4" t="s">
        <v>107</v>
      </c>
      <c r="H44" s="4" t="s">
        <v>108</v>
      </c>
      <c r="I44" s="4" t="s">
        <v>2</v>
      </c>
    </row>
    <row r="45" spans="1:9" x14ac:dyDescent="0.25">
      <c r="A45" s="4" t="s">
        <v>18</v>
      </c>
      <c r="B45" s="4" t="s">
        <v>59</v>
      </c>
      <c r="C45" s="4">
        <v>34.923035811613801</v>
      </c>
      <c r="D45" s="4"/>
      <c r="E45" s="4">
        <v>2.1691229100447299E-2</v>
      </c>
      <c r="F45" s="4">
        <v>7.8927968982441499</v>
      </c>
      <c r="G45" s="4">
        <v>1.5078093661726699</v>
      </c>
      <c r="H45" s="4">
        <v>4.76019189202988</v>
      </c>
      <c r="I45" s="4">
        <v>20.740546426066601</v>
      </c>
    </row>
    <row r="46" spans="1:9" x14ac:dyDescent="0.25">
      <c r="A46" s="4" t="s">
        <v>66</v>
      </c>
      <c r="B46" s="4" t="s">
        <v>0</v>
      </c>
      <c r="C46" s="4">
        <v>1.69512705663948E-6</v>
      </c>
      <c r="D46" s="4"/>
      <c r="E46" s="4">
        <v>2.8255219032389599E-9</v>
      </c>
      <c r="F46" s="4">
        <v>3.4024798176003697E-7</v>
      </c>
      <c r="G46" s="4">
        <v>4.6509119703776999E-7</v>
      </c>
      <c r="H46" s="4">
        <v>7.7715779773177004E-7</v>
      </c>
      <c r="I46" s="4">
        <v>1.0980455820666001E-7</v>
      </c>
    </row>
    <row r="47" spans="1:9" x14ac:dyDescent="0.25">
      <c r="A47" s="4" t="s">
        <v>47</v>
      </c>
      <c r="B47" s="4" t="s">
        <v>28</v>
      </c>
      <c r="C47" s="4">
        <v>0.16053326643983801</v>
      </c>
      <c r="D47" s="4"/>
      <c r="E47" s="4">
        <v>1.63913726632883E-4</v>
      </c>
      <c r="F47" s="4">
        <v>3.1042467563168901E-2</v>
      </c>
      <c r="G47" s="4">
        <v>8.2819707299579895E-3</v>
      </c>
      <c r="H47" s="4">
        <v>2.5315878554474501E-2</v>
      </c>
      <c r="I47" s="4">
        <v>9.5729035865603399E-2</v>
      </c>
    </row>
    <row r="48" spans="1:9" x14ac:dyDescent="0.25">
      <c r="A48" s="4" t="s">
        <v>45</v>
      </c>
      <c r="B48" s="4" t="s">
        <v>34</v>
      </c>
      <c r="C48" s="4">
        <v>9.8197036958292006E-3</v>
      </c>
      <c r="D48" s="4"/>
      <c r="E48" s="4">
        <v>8.9750378426021899E-6</v>
      </c>
      <c r="F48" s="4">
        <v>2.2037154661957098E-3</v>
      </c>
      <c r="G48" s="4">
        <v>8.1420744673856504E-4</v>
      </c>
      <c r="H48" s="4">
        <v>3.9578610495711198E-3</v>
      </c>
      <c r="I48" s="4">
        <v>2.8349446954812102E-3</v>
      </c>
    </row>
    <row r="49" spans="1:9" x14ac:dyDescent="0.25">
      <c r="A49" s="4" t="s">
        <v>15</v>
      </c>
      <c r="B49" s="4" t="s">
        <v>65</v>
      </c>
      <c r="C49" s="4">
        <v>7.0434263184825903E-3</v>
      </c>
      <c r="D49" s="4"/>
      <c r="E49" s="4">
        <v>4.05279168238367E-6</v>
      </c>
      <c r="F49" s="4">
        <v>1.1356742780742101E-3</v>
      </c>
      <c r="G49" s="4">
        <v>4.6085931153542499E-4</v>
      </c>
      <c r="H49" s="4">
        <v>2.8194293268213899E-3</v>
      </c>
      <c r="I49" s="4">
        <v>2.6234106103691902E-3</v>
      </c>
    </row>
    <row r="50" spans="1:9" x14ac:dyDescent="0.25">
      <c r="A50" s="4" t="s">
        <v>56</v>
      </c>
      <c r="B50" s="4" t="s">
        <v>21</v>
      </c>
      <c r="C50" s="4">
        <v>7.3922379322540603</v>
      </c>
      <c r="D50" s="4"/>
      <c r="E50" s="4">
        <v>1.4808227240589099E-2</v>
      </c>
      <c r="F50" s="4">
        <v>2.5371500923372401</v>
      </c>
      <c r="G50" s="4">
        <v>1.0730524551994001</v>
      </c>
      <c r="H50" s="4">
        <v>1.4339655561496301</v>
      </c>
      <c r="I50" s="4">
        <v>2.3332616013271998</v>
      </c>
    </row>
    <row r="51" spans="1:9" x14ac:dyDescent="0.25">
      <c r="A51" s="4" t="s">
        <v>26</v>
      </c>
      <c r="B51" s="4" t="s">
        <v>3</v>
      </c>
      <c r="C51" s="4">
        <v>0.13889324534626599</v>
      </c>
      <c r="D51" s="4"/>
      <c r="E51" s="4">
        <v>8.8762693892800804E-5</v>
      </c>
      <c r="F51" s="4">
        <v>4.2958269717018001E-2</v>
      </c>
      <c r="G51" s="4">
        <v>4.4553512793892198E-3</v>
      </c>
      <c r="H51" s="4">
        <v>3.3807072678987603E-2</v>
      </c>
      <c r="I51" s="4">
        <v>5.7583788976978002E-2</v>
      </c>
    </row>
    <row r="52" spans="1:9" x14ac:dyDescent="0.25">
      <c r="A52" s="4" t="s">
        <v>31</v>
      </c>
      <c r="B52" s="4" t="s">
        <v>5</v>
      </c>
      <c r="C52" s="4">
        <v>7.4181603600690496E-2</v>
      </c>
      <c r="D52" s="4"/>
      <c r="E52" s="4">
        <v>5.9226987284366299E-5</v>
      </c>
      <c r="F52" s="4">
        <v>1.33567797610952E-2</v>
      </c>
      <c r="G52" s="4">
        <v>3.9984221632402804E-3</v>
      </c>
      <c r="H52" s="4">
        <v>1.3602845824071E-2</v>
      </c>
      <c r="I52" s="4">
        <v>4.3164328864999602E-2</v>
      </c>
    </row>
    <row r="53" spans="1:9" x14ac:dyDescent="0.25">
      <c r="A53" s="4" t="s">
        <v>64</v>
      </c>
      <c r="B53" s="4" t="s">
        <v>21</v>
      </c>
      <c r="C53" s="4">
        <v>2.30769446692391E-3</v>
      </c>
      <c r="D53" s="4"/>
      <c r="E53" s="4">
        <v>2.2613994963360399E-6</v>
      </c>
      <c r="F53" s="4">
        <v>3.5924090273093502E-4</v>
      </c>
      <c r="G53" s="4">
        <v>1.3649911505123299E-4</v>
      </c>
      <c r="H53" s="4">
        <v>1.5547561152373401E-3</v>
      </c>
      <c r="I53" s="4">
        <v>2.54936934408061E-4</v>
      </c>
    </row>
    <row r="54" spans="1:9" x14ac:dyDescent="0.25">
      <c r="A54" s="4" t="s">
        <v>6</v>
      </c>
      <c r="B54" s="4" t="s">
        <v>21</v>
      </c>
      <c r="C54" s="4">
        <v>0.22783931251862899</v>
      </c>
      <c r="D54" s="4"/>
      <c r="E54" s="4">
        <v>6.3956442758040198E-4</v>
      </c>
      <c r="F54" s="4">
        <v>6.6424067374529494E-2</v>
      </c>
      <c r="G54" s="4">
        <v>3.4086932435285801E-2</v>
      </c>
      <c r="H54" s="4">
        <v>2.6476869994021102E-2</v>
      </c>
      <c r="I54" s="4">
        <v>0.10021187828721199</v>
      </c>
    </row>
    <row r="55" spans="1:9" x14ac:dyDescent="0.25">
      <c r="A55" s="4" t="s">
        <v>14</v>
      </c>
      <c r="B55" s="4" t="s">
        <v>21</v>
      </c>
      <c r="C55" s="4">
        <v>0.225635984516798</v>
      </c>
      <c r="D55" s="4"/>
      <c r="E55" s="4">
        <v>6.39546641781221E-4</v>
      </c>
      <c r="F55" s="4">
        <v>6.4464972374429899E-2</v>
      </c>
      <c r="G55" s="4">
        <v>3.3388646814822197E-2</v>
      </c>
      <c r="H55" s="4">
        <v>3.4182379945397801E-2</v>
      </c>
      <c r="I55" s="4">
        <v>9.2960438740366802E-2</v>
      </c>
    </row>
    <row r="56" spans="1:9" x14ac:dyDescent="0.25">
      <c r="A56" s="4" t="s">
        <v>50</v>
      </c>
      <c r="B56" s="4" t="s">
        <v>68</v>
      </c>
      <c r="C56" s="4">
        <v>1.4549649456892499</v>
      </c>
      <c r="D56" s="4"/>
      <c r="E56" s="4">
        <v>1.23628965564248E-3</v>
      </c>
      <c r="F56" s="4">
        <v>0.53229511419939701</v>
      </c>
      <c r="G56" s="4">
        <v>0.149203778709775</v>
      </c>
      <c r="H56" s="4">
        <v>0.41737239678827898</v>
      </c>
      <c r="I56" s="4">
        <v>0.354857366336157</v>
      </c>
    </row>
    <row r="57" spans="1:9" x14ac:dyDescent="0.25">
      <c r="A57" s="4" t="s">
        <v>7</v>
      </c>
      <c r="B57" s="4" t="s">
        <v>10</v>
      </c>
      <c r="C57" s="4">
        <v>0.98664802642706495</v>
      </c>
      <c r="D57" s="4"/>
      <c r="E57" s="4">
        <v>4.6335161492730702E-4</v>
      </c>
      <c r="F57" s="4">
        <v>0.486370722013442</v>
      </c>
      <c r="G57" s="4">
        <v>9.4659486990068195E-2</v>
      </c>
      <c r="H57" s="4">
        <v>0.112682086944282</v>
      </c>
      <c r="I57" s="4">
        <v>0.29247237886434502</v>
      </c>
    </row>
    <row r="58" spans="1:9" x14ac:dyDescent="0.25">
      <c r="A58" s="4" t="s">
        <v>24</v>
      </c>
      <c r="B58" s="4" t="s">
        <v>10</v>
      </c>
      <c r="C58" s="4">
        <v>0.52711732033930103</v>
      </c>
      <c r="D58" s="4"/>
      <c r="E58" s="4">
        <v>2.18224293213426E-4</v>
      </c>
      <c r="F58" s="4">
        <v>4.4223810039550802E-2</v>
      </c>
      <c r="G58" s="4">
        <v>1.7356855184612E-2</v>
      </c>
      <c r="H58" s="4">
        <v>0.29187240723747199</v>
      </c>
      <c r="I58" s="4">
        <v>0.17344602358445299</v>
      </c>
    </row>
    <row r="59" spans="1:9" x14ac:dyDescent="0.25">
      <c r="A59" s="4" t="s">
        <v>46</v>
      </c>
      <c r="B59" s="4" t="s">
        <v>33</v>
      </c>
      <c r="C59" s="4">
        <v>3.4971032265843699E-3</v>
      </c>
      <c r="D59" s="4"/>
      <c r="E59" s="4">
        <v>3.1261862588850001E-6</v>
      </c>
      <c r="F59" s="4">
        <v>6.3848548303709898E-4</v>
      </c>
      <c r="G59" s="4">
        <v>2.4392173281399999E-4</v>
      </c>
      <c r="H59" s="4">
        <v>1.73620517181507E-3</v>
      </c>
      <c r="I59" s="4">
        <v>8.7536465265931397E-4</v>
      </c>
    </row>
    <row r="60" spans="1:9" x14ac:dyDescent="0.25">
      <c r="A60" s="4" t="s">
        <v>44</v>
      </c>
      <c r="B60" s="4" t="s">
        <v>73</v>
      </c>
      <c r="C60" s="4">
        <v>0.29354585656127402</v>
      </c>
      <c r="D60" s="4"/>
      <c r="E60" s="4">
        <v>9.7894036932485995E-5</v>
      </c>
      <c r="F60" s="4">
        <v>0.108164229446294</v>
      </c>
      <c r="G60" s="4">
        <v>2.9559928325839702E-2</v>
      </c>
      <c r="H60" s="4">
        <v>0.123935255673103</v>
      </c>
      <c r="I60" s="4">
        <v>3.1788549079104701E-2</v>
      </c>
    </row>
    <row r="61" spans="1:9" x14ac:dyDescent="0.25">
      <c r="A61" s="4" t="s">
        <v>32</v>
      </c>
      <c r="B61" s="4" t="s">
        <v>29</v>
      </c>
      <c r="C61" s="4">
        <v>1.0306702054316099</v>
      </c>
      <c r="D61" s="4"/>
      <c r="E61" s="4">
        <v>1.2540167202418E-3</v>
      </c>
      <c r="F61" s="4">
        <v>0.45514655080649902</v>
      </c>
      <c r="G61" s="4">
        <v>0.14608848327490401</v>
      </c>
      <c r="H61" s="4">
        <v>0.30303332509498898</v>
      </c>
      <c r="I61" s="4">
        <v>0.12514782953497899</v>
      </c>
    </row>
    <row r="62" spans="1:9" x14ac:dyDescent="0.25">
      <c r="A62" s="4" t="s">
        <v>53</v>
      </c>
      <c r="B62" s="4" t="s">
        <v>52</v>
      </c>
      <c r="C62" s="4">
        <v>11.382245507592501</v>
      </c>
      <c r="D62" s="4"/>
      <c r="E62" s="4">
        <v>5.7718872307783399E-3</v>
      </c>
      <c r="F62" s="4">
        <v>5.2793144963149796</v>
      </c>
      <c r="G62" s="4">
        <v>0.40041172301410799</v>
      </c>
      <c r="H62" s="4">
        <v>1.5821583416915901</v>
      </c>
      <c r="I62" s="4">
        <v>4.1145890593410401</v>
      </c>
    </row>
    <row r="65" spans="1:25" x14ac:dyDescent="0.25">
      <c r="A65" s="4" t="s">
        <v>69</v>
      </c>
      <c r="B65" s="4" t="s">
        <v>27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x14ac:dyDescent="0.25">
      <c r="A66" s="4" t="s">
        <v>39</v>
      </c>
      <c r="B66" s="4" t="s">
        <v>40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x14ac:dyDescent="0.25">
      <c r="A67" s="3" t="s">
        <v>67</v>
      </c>
      <c r="B67" s="3" t="s">
        <v>109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x14ac:dyDescent="0.25">
      <c r="A68" s="4" t="s">
        <v>49</v>
      </c>
      <c r="B68" s="4" t="s">
        <v>58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x14ac:dyDescent="0.25">
      <c r="A69" s="4" t="s">
        <v>60</v>
      </c>
      <c r="B69" s="4" t="s">
        <v>62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x14ac:dyDescent="0.25">
      <c r="A70" s="4" t="s">
        <v>42</v>
      </c>
      <c r="B70" s="4" t="s">
        <v>70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x14ac:dyDescent="0.25">
      <c r="A71" s="4" t="s">
        <v>19</v>
      </c>
      <c r="B71" s="4" t="s">
        <v>16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x14ac:dyDescent="0.25">
      <c r="A72" s="4" t="s">
        <v>54</v>
      </c>
      <c r="B72" s="4" t="s">
        <v>16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x14ac:dyDescent="0.25">
      <c r="A73" s="4" t="s">
        <v>55</v>
      </c>
      <c r="B73" s="4" t="s">
        <v>22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x14ac:dyDescent="0.25">
      <c r="A74" s="4" t="s">
        <v>23</v>
      </c>
      <c r="B74" s="4" t="s">
        <v>72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x14ac:dyDescent="0.25">
      <c r="A76" s="4" t="s">
        <v>22</v>
      </c>
      <c r="B76" s="4" t="s">
        <v>43</v>
      </c>
      <c r="C76" s="4" t="s">
        <v>48</v>
      </c>
      <c r="D76" s="4"/>
      <c r="E76" s="4" t="s">
        <v>110</v>
      </c>
      <c r="F76" s="4" t="s">
        <v>111</v>
      </c>
      <c r="G76" s="4" t="s">
        <v>112</v>
      </c>
      <c r="H76" s="4" t="s">
        <v>113</v>
      </c>
      <c r="I76" s="4" t="s">
        <v>114</v>
      </c>
      <c r="J76" s="4" t="s">
        <v>115</v>
      </c>
      <c r="K76" s="4" t="s">
        <v>116</v>
      </c>
      <c r="L76" s="4" t="s">
        <v>117</v>
      </c>
      <c r="M76" s="4" t="s">
        <v>112</v>
      </c>
      <c r="N76" s="4" t="s">
        <v>118</v>
      </c>
      <c r="O76" s="4" t="s">
        <v>119</v>
      </c>
      <c r="P76" s="4" t="s">
        <v>107</v>
      </c>
      <c r="Q76" s="4" t="s">
        <v>120</v>
      </c>
      <c r="R76" s="4" t="s">
        <v>77</v>
      </c>
      <c r="S76" s="4" t="s">
        <v>87</v>
      </c>
      <c r="T76" s="4" t="s">
        <v>121</v>
      </c>
      <c r="U76" s="4" t="s">
        <v>122</v>
      </c>
      <c r="V76" s="4" t="s">
        <v>123</v>
      </c>
      <c r="W76" s="4" t="s">
        <v>124</v>
      </c>
      <c r="X76" s="4" t="s">
        <v>108</v>
      </c>
      <c r="Y76" s="4" t="s">
        <v>2</v>
      </c>
    </row>
    <row r="77" spans="1:25" x14ac:dyDescent="0.25">
      <c r="A77" s="4" t="s">
        <v>18</v>
      </c>
      <c r="B77" s="4" t="s">
        <v>59</v>
      </c>
      <c r="C77" s="4">
        <v>73.491854071719501</v>
      </c>
      <c r="D77" s="4"/>
      <c r="E77" s="4">
        <v>1.04036721529736</v>
      </c>
      <c r="F77" s="4">
        <v>1.3128880333239801</v>
      </c>
      <c r="G77" s="4">
        <v>0.25005118074073801</v>
      </c>
      <c r="H77" s="4">
        <v>0.97577190130720404</v>
      </c>
      <c r="I77" s="4">
        <v>0.28349937839842898</v>
      </c>
      <c r="J77" s="4">
        <v>1.51659443516616</v>
      </c>
      <c r="K77" s="4">
        <v>0.94708220972602497</v>
      </c>
      <c r="L77" s="4">
        <v>1.5757199941111499</v>
      </c>
      <c r="M77" s="4">
        <v>4.1312803774556803E-2</v>
      </c>
      <c r="N77" s="4">
        <v>1.5988586836451</v>
      </c>
      <c r="O77" s="4">
        <v>1.7839489777766501E-3</v>
      </c>
      <c r="P77" s="4">
        <v>4.1782669183097996</v>
      </c>
      <c r="Q77" s="4">
        <v>1.9794994418108999E-3</v>
      </c>
      <c r="R77" s="4">
        <v>1.7149546537981699E-5</v>
      </c>
      <c r="S77" s="4">
        <v>4.4740556624679497E-5</v>
      </c>
      <c r="T77" s="4">
        <v>1.0643888829847999E-5</v>
      </c>
      <c r="U77" s="4">
        <v>0.45479342872262801</v>
      </c>
      <c r="V77" s="4">
        <v>0.21399532909445201</v>
      </c>
      <c r="W77" s="4">
        <v>2.1050869581180202E-3</v>
      </c>
      <c r="X77" s="4">
        <v>10.8494401502158</v>
      </c>
      <c r="Y77" s="4">
        <v>48.247271340516299</v>
      </c>
    </row>
    <row r="78" spans="1:25" x14ac:dyDescent="0.25">
      <c r="A78" s="4" t="s">
        <v>66</v>
      </c>
      <c r="B78" s="4" t="s">
        <v>0</v>
      </c>
      <c r="C78" s="4">
        <v>4.7795939862289402E-6</v>
      </c>
      <c r="D78" s="4"/>
      <c r="E78" s="4">
        <v>4.5528736664060799E-10</v>
      </c>
      <c r="F78" s="4">
        <v>3.0936973487857901E-7</v>
      </c>
      <c r="G78" s="4">
        <v>3.48744159055941E-8</v>
      </c>
      <c r="H78" s="4">
        <v>1.5135308558179499E-7</v>
      </c>
      <c r="I78" s="4">
        <v>5.2243641602564802E-8</v>
      </c>
      <c r="J78" s="4">
        <v>1.7990971350550301E-7</v>
      </c>
      <c r="K78" s="4">
        <v>1.8992246234565801E-7</v>
      </c>
      <c r="L78" s="4">
        <v>1.8622190232862901E-7</v>
      </c>
      <c r="M78" s="4">
        <v>5.7618600191851099E-9</v>
      </c>
      <c r="N78" s="4">
        <v>1.60833439074446E-8</v>
      </c>
      <c r="O78" s="4">
        <v>1.09589202351253E-10</v>
      </c>
      <c r="P78" s="4">
        <v>1.28880693155045E-6</v>
      </c>
      <c r="Q78" s="4">
        <v>3.8661926078463501E-10</v>
      </c>
      <c r="R78" s="4">
        <v>4.3869654243182998E-12</v>
      </c>
      <c r="S78" s="4">
        <v>3.7335036592116096E-12</v>
      </c>
      <c r="T78" s="4">
        <v>1.3937078682211201E-12</v>
      </c>
      <c r="U78" s="4">
        <v>2.9689557418620098E-7</v>
      </c>
      <c r="V78" s="4">
        <v>4.0370303309847303E-8</v>
      </c>
      <c r="W78" s="4">
        <v>8.9599309190419705E-11</v>
      </c>
      <c r="X78" s="4">
        <v>1.77129980409089E-6</v>
      </c>
      <c r="Y78" s="4">
        <v>2.5543060370068299E-7</v>
      </c>
    </row>
    <row r="79" spans="1:25" x14ac:dyDescent="0.25">
      <c r="A79" s="4" t="s">
        <v>47</v>
      </c>
      <c r="B79" s="4" t="s">
        <v>28</v>
      </c>
      <c r="C79" s="4">
        <v>0.463823185763025</v>
      </c>
      <c r="D79" s="4"/>
      <c r="E79" s="4">
        <v>4.4225861117208002E-3</v>
      </c>
      <c r="F79" s="4">
        <v>2.98333567778571E-2</v>
      </c>
      <c r="G79" s="4">
        <v>1.60891045277804E-3</v>
      </c>
      <c r="H79" s="4">
        <v>1.41977476834857E-2</v>
      </c>
      <c r="I79" s="4">
        <v>7.2443126148318199E-4</v>
      </c>
      <c r="J79" s="4">
        <v>6.69636957803783E-3</v>
      </c>
      <c r="K79" s="4">
        <v>2.9778909590570399E-3</v>
      </c>
      <c r="L79" s="4">
        <v>6.9499886813439403E-3</v>
      </c>
      <c r="M79" s="4">
        <v>2.65819987850283E-4</v>
      </c>
      <c r="N79" s="4">
        <v>9.3090184524495198E-4</v>
      </c>
      <c r="O79" s="4">
        <v>8.2712235466000502E-6</v>
      </c>
      <c r="P79" s="4">
        <v>2.2950039372172701E-2</v>
      </c>
      <c r="Q79" s="4">
        <v>1.9966567389828001E-5</v>
      </c>
      <c r="R79" s="4">
        <v>1.0242390962362901E-7</v>
      </c>
      <c r="S79" s="4">
        <v>1.0094153846262E-5</v>
      </c>
      <c r="T79" s="4">
        <v>1.61724228250709E-7</v>
      </c>
      <c r="U79" s="4">
        <v>9.0940124798806601E-2</v>
      </c>
      <c r="V79" s="4">
        <v>8.7814890553221695E-4</v>
      </c>
      <c r="W79" s="4">
        <v>2.0556429062213199E-5</v>
      </c>
      <c r="X79" s="4">
        <v>5.7700007744140303E-2</v>
      </c>
      <c r="Y79" s="4">
        <v>0.22268770908153099</v>
      </c>
    </row>
    <row r="80" spans="1:25" x14ac:dyDescent="0.25">
      <c r="A80" s="4" t="s">
        <v>45</v>
      </c>
      <c r="B80" s="4" t="s">
        <v>34</v>
      </c>
      <c r="C80" s="4">
        <v>2.4263156959932801E-2</v>
      </c>
      <c r="D80" s="4"/>
      <c r="E80" s="4">
        <v>7.2434804755875794E-5</v>
      </c>
      <c r="F80" s="4">
        <v>1.6822619418143999E-3</v>
      </c>
      <c r="G80" s="4">
        <v>1.0199071945812E-4</v>
      </c>
      <c r="H80" s="4">
        <v>7.2600171874423502E-4</v>
      </c>
      <c r="I80" s="4">
        <v>5.3680349036889399E-5</v>
      </c>
      <c r="J80" s="4">
        <v>1.3300504273815301E-3</v>
      </c>
      <c r="K80" s="4">
        <v>1.06580907839143E-4</v>
      </c>
      <c r="L80" s="4">
        <v>1.39146145818893E-3</v>
      </c>
      <c r="M80" s="4">
        <v>1.6850640606124201E-5</v>
      </c>
      <c r="N80" s="4">
        <v>9.83443778990638E-5</v>
      </c>
      <c r="O80" s="4">
        <v>7.65449890469676E-7</v>
      </c>
      <c r="P80" s="4">
        <v>2.25623750301048E-3</v>
      </c>
      <c r="Q80" s="4">
        <v>8.5011376945630206E-6</v>
      </c>
      <c r="R80" s="4">
        <v>6.7760115647745502E-9</v>
      </c>
      <c r="S80" s="4">
        <v>1.25725481836399E-7</v>
      </c>
      <c r="T80" s="4">
        <v>4.8347193246219696E-9</v>
      </c>
      <c r="U80" s="4">
        <v>7.3364498701850196E-4</v>
      </c>
      <c r="V80" s="4">
        <v>6.6171987984093504E-5</v>
      </c>
      <c r="W80" s="4">
        <v>2.54329355354288E-6</v>
      </c>
      <c r="X80" s="4">
        <v>9.0207659098040602E-3</v>
      </c>
      <c r="Y80" s="4">
        <v>6.5947320090400099E-3</v>
      </c>
    </row>
    <row r="81" spans="1:25" x14ac:dyDescent="0.25">
      <c r="A81" s="4" t="s">
        <v>15</v>
      </c>
      <c r="B81" s="4" t="s">
        <v>65</v>
      </c>
      <c r="C81" s="4">
        <v>1.7836131326199701E-2</v>
      </c>
      <c r="D81" s="4"/>
      <c r="E81" s="4">
        <v>8.8017452658955804E-5</v>
      </c>
      <c r="F81" s="4">
        <v>1.7615586685552601E-3</v>
      </c>
      <c r="G81" s="4">
        <v>6.4976357731316801E-5</v>
      </c>
      <c r="H81" s="4">
        <v>2.8417392556306698E-4</v>
      </c>
      <c r="I81" s="4">
        <v>3.6638442652971702E-5</v>
      </c>
      <c r="J81" s="4">
        <v>4.3771666882007901E-4</v>
      </c>
      <c r="K81" s="4">
        <v>1.09666188440556E-4</v>
      </c>
      <c r="L81" s="4">
        <v>4.5497525665581898E-4</v>
      </c>
      <c r="M81" s="4">
        <v>1.07352243208262E-5</v>
      </c>
      <c r="N81" s="4">
        <v>3.4018804682025099E-5</v>
      </c>
      <c r="O81" s="4">
        <v>3.1704497316526902E-7</v>
      </c>
      <c r="P81" s="4">
        <v>1.27708001991744E-3</v>
      </c>
      <c r="Q81" s="4">
        <v>1.6892186510086999E-6</v>
      </c>
      <c r="R81" s="4">
        <v>5.0282162475734399E-9</v>
      </c>
      <c r="S81" s="4">
        <v>3.1809891120640302E-8</v>
      </c>
      <c r="T81" s="4">
        <v>4.2915122074562802E-9</v>
      </c>
      <c r="U81" s="4">
        <v>1.89837175392447E-4</v>
      </c>
      <c r="V81" s="4">
        <v>5.5514680749063205E-4</v>
      </c>
      <c r="W81" s="4">
        <v>8.38011801134584E-7</v>
      </c>
      <c r="X81" s="4">
        <v>6.4260497320936596E-3</v>
      </c>
      <c r="Y81" s="4">
        <v>6.1026551961797498E-3</v>
      </c>
    </row>
    <row r="82" spans="1:25" x14ac:dyDescent="0.25">
      <c r="A82" s="4" t="s">
        <v>56</v>
      </c>
      <c r="B82" s="4" t="s">
        <v>21</v>
      </c>
      <c r="C82" s="4">
        <v>19.9772970225713</v>
      </c>
      <c r="D82" s="4"/>
      <c r="E82" s="4">
        <v>1.4096443562990399E-2</v>
      </c>
      <c r="F82" s="4">
        <v>3.8772288249434501</v>
      </c>
      <c r="G82" s="4">
        <v>0.111304778167885</v>
      </c>
      <c r="H82" s="4">
        <v>0.94103228360749802</v>
      </c>
      <c r="I82" s="4">
        <v>5.82229376402729E-2</v>
      </c>
      <c r="J82" s="4">
        <v>0.84533145849359903</v>
      </c>
      <c r="K82" s="4">
        <v>0.206186299306229</v>
      </c>
      <c r="L82" s="4">
        <v>0.88146919316920702</v>
      </c>
      <c r="M82" s="4">
        <v>1.8389485088607101E-2</v>
      </c>
      <c r="N82" s="4">
        <v>8.7458504911382004E-2</v>
      </c>
      <c r="O82" s="4">
        <v>5.1334196692691403E-4</v>
      </c>
      <c r="P82" s="4">
        <v>2.9735188517573801</v>
      </c>
      <c r="Q82" s="4">
        <v>1.4434928626901799E-2</v>
      </c>
      <c r="R82" s="4">
        <v>8.6253573412004205E-6</v>
      </c>
      <c r="S82" s="4">
        <v>2.0637800944754299E-4</v>
      </c>
      <c r="T82" s="4">
        <v>5.01089614261909E-6</v>
      </c>
      <c r="U82" s="4">
        <v>1.1709392087700501</v>
      </c>
      <c r="V82" s="4">
        <v>7.5163227226455104E-2</v>
      </c>
      <c r="W82" s="4">
        <v>5.7876990955005904E-3</v>
      </c>
      <c r="X82" s="4">
        <v>3.2682975469851798</v>
      </c>
      <c r="Y82" s="4">
        <v>5.4277019949888903</v>
      </c>
    </row>
    <row r="83" spans="1:25" x14ac:dyDescent="0.25">
      <c r="A83" s="4" t="s">
        <v>26</v>
      </c>
      <c r="B83" s="4" t="s">
        <v>3</v>
      </c>
      <c r="C83" s="4">
        <v>0.28700160597449198</v>
      </c>
      <c r="D83" s="4"/>
      <c r="E83" s="4">
        <v>4.2287156496960999E-3</v>
      </c>
      <c r="F83" s="4">
        <v>3.4388706837318803E-2</v>
      </c>
      <c r="G83" s="4">
        <v>7.5858224654215805E-4</v>
      </c>
      <c r="H83" s="4">
        <v>5.1167201218925897E-3</v>
      </c>
      <c r="I83" s="4">
        <v>7.7297143265471697E-4</v>
      </c>
      <c r="J83" s="4">
        <v>3.3340816341378E-3</v>
      </c>
      <c r="K83" s="4">
        <v>1.61083788649805E-3</v>
      </c>
      <c r="L83" s="4">
        <v>3.3981583043107299E-3</v>
      </c>
      <c r="M83" s="4">
        <v>1.25330979863487E-4</v>
      </c>
      <c r="N83" s="4">
        <v>3.8012733490433399E-4</v>
      </c>
      <c r="O83" s="4">
        <v>4.1627426862199999E-6</v>
      </c>
      <c r="P83" s="4">
        <v>1.23461541477051E-2</v>
      </c>
      <c r="Q83" s="4">
        <v>1.8494722765012E-5</v>
      </c>
      <c r="R83" s="4">
        <v>6.0193011321837595E-8</v>
      </c>
      <c r="S83" s="4">
        <v>1.0767868460228601E-6</v>
      </c>
      <c r="T83" s="4">
        <v>4.6976621589731197E-8</v>
      </c>
      <c r="U83" s="4">
        <v>8.9525849834644101E-3</v>
      </c>
      <c r="V83" s="4">
        <v>5.4723993553742502E-4</v>
      </c>
      <c r="W83" s="4">
        <v>1.12865670903878E-5</v>
      </c>
      <c r="X83" s="4">
        <v>7.7053156764141803E-2</v>
      </c>
      <c r="Y83" s="4">
        <v>0.13395310972680399</v>
      </c>
    </row>
    <row r="84" spans="1:25" x14ac:dyDescent="0.25">
      <c r="A84" s="4" t="s">
        <v>31</v>
      </c>
      <c r="B84" s="4" t="s">
        <v>5</v>
      </c>
      <c r="C84" s="4">
        <v>0.185004816461598</v>
      </c>
      <c r="D84" s="4"/>
      <c r="E84" s="4">
        <v>1.3052331367581201E-3</v>
      </c>
      <c r="F84" s="4">
        <v>9.5989037667493799E-3</v>
      </c>
      <c r="G84" s="4">
        <v>6.5276444610176199E-4</v>
      </c>
      <c r="H84" s="4">
        <v>5.0466327797420198E-3</v>
      </c>
      <c r="I84" s="4">
        <v>2.71996306775393E-4</v>
      </c>
      <c r="J84" s="4">
        <v>2.25475348398227E-3</v>
      </c>
      <c r="K84" s="4">
        <v>1.1337671283812301E-3</v>
      </c>
      <c r="L84" s="4">
        <v>2.32690567524256E-3</v>
      </c>
      <c r="M84" s="4">
        <v>1.07848038921161E-4</v>
      </c>
      <c r="N84" s="4">
        <v>3.2507868605385399E-4</v>
      </c>
      <c r="O84" s="4">
        <v>4.4799927441522697E-6</v>
      </c>
      <c r="P84" s="4">
        <v>1.10799650306658E-2</v>
      </c>
      <c r="Q84" s="4">
        <v>9.1061926079485508E-6</v>
      </c>
      <c r="R84" s="4">
        <v>5.04273916787474E-8</v>
      </c>
      <c r="S84" s="4">
        <v>2.1757322873635098E-6</v>
      </c>
      <c r="T84" s="4">
        <v>4.3225475707553899E-8</v>
      </c>
      <c r="U84" s="4">
        <v>1.90692206635289E-2</v>
      </c>
      <c r="V84" s="4">
        <v>3.9382490864629799E-4</v>
      </c>
      <c r="W84" s="4">
        <v>8.2938112020357201E-6</v>
      </c>
      <c r="X84" s="4">
        <v>3.10036370430542E-2</v>
      </c>
      <c r="Y84" s="4">
        <v>0.100410135985286</v>
      </c>
    </row>
    <row r="85" spans="1:25" x14ac:dyDescent="0.25">
      <c r="A85" s="4" t="s">
        <v>64</v>
      </c>
      <c r="B85" s="4" t="s">
        <v>21</v>
      </c>
      <c r="C85" s="4">
        <v>5.6818950969612404E-3</v>
      </c>
      <c r="D85" s="4"/>
      <c r="E85" s="4">
        <v>8.1409280545126707E-6</v>
      </c>
      <c r="F85" s="4">
        <v>3.4253929453724902E-4</v>
      </c>
      <c r="G85" s="4">
        <v>3.1352872260521997E-5</v>
      </c>
      <c r="H85" s="4">
        <v>1.09284192337264E-4</v>
      </c>
      <c r="I85" s="4">
        <v>8.05059657711313E-6</v>
      </c>
      <c r="J85" s="4">
        <v>8.5108014654240697E-5</v>
      </c>
      <c r="K85" s="4">
        <v>1.48115062811642E-4</v>
      </c>
      <c r="L85" s="4">
        <v>8.4170534044511998E-5</v>
      </c>
      <c r="M85" s="4">
        <v>5.1800397647818802E-6</v>
      </c>
      <c r="N85" s="4">
        <v>8.8303636587488104E-6</v>
      </c>
      <c r="O85" s="4">
        <v>7.7400897621644696E-8</v>
      </c>
      <c r="P85" s="4">
        <v>3.7825055978052402E-4</v>
      </c>
      <c r="Q85" s="4">
        <v>1.8577882510690899E-7</v>
      </c>
      <c r="R85" s="4">
        <v>1.2098475337363099E-8</v>
      </c>
      <c r="S85" s="4">
        <v>3.1862165045228198E-8</v>
      </c>
      <c r="T85" s="4">
        <v>1.3821929742134601E-9</v>
      </c>
      <c r="U85" s="4">
        <v>4.15904421277896E-5</v>
      </c>
      <c r="V85" s="4">
        <v>2.9298496126467001E-4</v>
      </c>
      <c r="W85" s="4">
        <v>1.34322221329646E-6</v>
      </c>
      <c r="X85" s="4">
        <v>3.5436036680983698E-3</v>
      </c>
      <c r="Y85" s="4">
        <v>5.9304182221991996E-4</v>
      </c>
    </row>
    <row r="86" spans="1:25" x14ac:dyDescent="0.25">
      <c r="A86" s="4" t="s">
        <v>6</v>
      </c>
      <c r="B86" s="4" t="s">
        <v>21</v>
      </c>
      <c r="C86" s="4">
        <v>0.58403792139939903</v>
      </c>
      <c r="D86" s="4"/>
      <c r="E86" s="4">
        <v>8.4919505167194002E-4</v>
      </c>
      <c r="F86" s="4">
        <v>6.0645747178909998E-2</v>
      </c>
      <c r="G86" s="4">
        <v>3.19237436871771E-3</v>
      </c>
      <c r="H86" s="4">
        <v>2.1506496904292599E-2</v>
      </c>
      <c r="I86" s="4">
        <v>1.38326680688115E-3</v>
      </c>
      <c r="J86" s="4">
        <v>2.85285295042501E-2</v>
      </c>
      <c r="K86" s="4">
        <v>3.7506263815071301E-3</v>
      </c>
      <c r="L86" s="4">
        <v>2.9826394667805501E-2</v>
      </c>
      <c r="M86" s="4">
        <v>5.2743576526640497E-4</v>
      </c>
      <c r="N86" s="4">
        <v>2.3908744397952201E-3</v>
      </c>
      <c r="O86" s="4">
        <v>1.71534293781571E-5</v>
      </c>
      <c r="P86" s="4">
        <v>9.4457764579707795E-2</v>
      </c>
      <c r="Q86" s="4">
        <v>2.76967017933739E-4</v>
      </c>
      <c r="R86" s="4">
        <v>2.2660487858004299E-7</v>
      </c>
      <c r="S86" s="4">
        <v>6.6033148370133699E-6</v>
      </c>
      <c r="T86" s="4">
        <v>2.48107382762127E-7</v>
      </c>
      <c r="U86" s="4">
        <v>3.91914735668627E-2</v>
      </c>
      <c r="V86" s="4">
        <v>3.9474359109448699E-3</v>
      </c>
      <c r="W86" s="4">
        <v>7.7136924396888599E-5</v>
      </c>
      <c r="X86" s="4">
        <v>6.0346142042683598E-2</v>
      </c>
      <c r="Y86" s="4">
        <v>0.233115828831296</v>
      </c>
    </row>
    <row r="87" spans="1:25" x14ac:dyDescent="0.25">
      <c r="A87" s="4" t="s">
        <v>14</v>
      </c>
      <c r="B87" s="4" t="s">
        <v>21</v>
      </c>
      <c r="C87" s="4">
        <v>0.57405475251538896</v>
      </c>
      <c r="D87" s="4"/>
      <c r="E87" s="4">
        <v>7.8481708225065403E-4</v>
      </c>
      <c r="F87" s="4">
        <v>5.9483785536457598E-2</v>
      </c>
      <c r="G87" s="4">
        <v>3.1594040974920398E-3</v>
      </c>
      <c r="H87" s="4">
        <v>2.0800276383721401E-2</v>
      </c>
      <c r="I87" s="4">
        <v>1.3254062294673599E-3</v>
      </c>
      <c r="J87" s="4">
        <v>2.67702135734409E-2</v>
      </c>
      <c r="K87" s="4">
        <v>5.0432404535282601E-3</v>
      </c>
      <c r="L87" s="4">
        <v>2.79565282169781E-2</v>
      </c>
      <c r="M87" s="4">
        <v>5.2198850306390198E-4</v>
      </c>
      <c r="N87" s="4">
        <v>2.2730773196283E-3</v>
      </c>
      <c r="O87" s="4">
        <v>1.58566478137239E-5</v>
      </c>
      <c r="P87" s="4">
        <v>9.2522756233844705E-2</v>
      </c>
      <c r="Q87" s="4">
        <v>5.1890049503334199E-4</v>
      </c>
      <c r="R87" s="4">
        <v>2.24856265430628E-7</v>
      </c>
      <c r="S87" s="4">
        <v>6.7003941117815003E-6</v>
      </c>
      <c r="T87" s="4">
        <v>2.3763599670532501E-7</v>
      </c>
      <c r="U87" s="4">
        <v>3.6667919506108697E-2</v>
      </c>
      <c r="V87" s="4">
        <v>1.9473630852172E-3</v>
      </c>
      <c r="W87" s="4">
        <v>1.00182250878281E-4</v>
      </c>
      <c r="X87" s="4">
        <v>7.7908557861503802E-2</v>
      </c>
      <c r="Y87" s="4">
        <v>0.21624731615258699</v>
      </c>
    </row>
    <row r="88" spans="1:25" x14ac:dyDescent="0.25">
      <c r="A88" s="4" t="s">
        <v>50</v>
      </c>
      <c r="B88" s="4" t="s">
        <v>68</v>
      </c>
      <c r="C88" s="4">
        <v>5.48813830232075</v>
      </c>
      <c r="D88" s="4"/>
      <c r="E88" s="4">
        <v>1.53490309877619E-4</v>
      </c>
      <c r="F88" s="4">
        <v>1.43162448795164</v>
      </c>
      <c r="G88" s="4">
        <v>2.0683866162761601E-2</v>
      </c>
      <c r="H88" s="4">
        <v>0.140987833512836</v>
      </c>
      <c r="I88" s="4">
        <v>2.3795190613114501E-2</v>
      </c>
      <c r="J88" s="4">
        <v>0.74224290315844699</v>
      </c>
      <c r="K88" s="4">
        <v>6.3631690845750502E-2</v>
      </c>
      <c r="L88" s="4">
        <v>0.77640874347909505</v>
      </c>
      <c r="M88" s="4">
        <v>3.4173344094997498E-3</v>
      </c>
      <c r="N88" s="4">
        <v>4.3177031982982401E-2</v>
      </c>
      <c r="O88" s="4">
        <v>2.5422842572963699E-4</v>
      </c>
      <c r="P88" s="4">
        <v>0.41345625425600402</v>
      </c>
      <c r="Q88" s="4">
        <v>2.1896854521792901E-4</v>
      </c>
      <c r="R88" s="4">
        <v>3.8756211181048503E-6</v>
      </c>
      <c r="S88" s="4">
        <v>3.5705422580872098E-6</v>
      </c>
      <c r="T88" s="4">
        <v>1.3956291769105401E-6</v>
      </c>
      <c r="U88" s="4">
        <v>3.6229839543320298E-2</v>
      </c>
      <c r="V88" s="4">
        <v>1.49944794219818E-2</v>
      </c>
      <c r="W88" s="4">
        <v>9.7336596620096607E-5</v>
      </c>
      <c r="X88" s="4">
        <v>0.95127610573630295</v>
      </c>
      <c r="Y88" s="4">
        <v>0.82547967557701196</v>
      </c>
    </row>
    <row r="89" spans="1:25" x14ac:dyDescent="0.25">
      <c r="A89" s="4" t="s">
        <v>7</v>
      </c>
      <c r="B89" s="4" t="s">
        <v>10</v>
      </c>
      <c r="C89" s="4">
        <v>3.27015840126223</v>
      </c>
      <c r="D89" s="4"/>
      <c r="E89" s="4">
        <v>1.03208158800658E-4</v>
      </c>
      <c r="F89" s="4">
        <v>1.5023786570378199</v>
      </c>
      <c r="G89" s="4">
        <v>1.65420462816851E-2</v>
      </c>
      <c r="H89" s="4">
        <v>7.5222978210094202E-2</v>
      </c>
      <c r="I89" s="4">
        <v>8.0812260594171192E-3</v>
      </c>
      <c r="J89" s="4">
        <v>0.20396744737293401</v>
      </c>
      <c r="K89" s="4">
        <v>1.31937103733818E-2</v>
      </c>
      <c r="L89" s="4">
        <v>0.21342143811008099</v>
      </c>
      <c r="M89" s="4">
        <v>2.7330337334957999E-3</v>
      </c>
      <c r="N89" s="4">
        <v>1.36440299913778E-2</v>
      </c>
      <c r="O89" s="4">
        <v>1.00142032162735E-4</v>
      </c>
      <c r="P89" s="4">
        <v>0.26230942177970701</v>
      </c>
      <c r="Q89" s="4">
        <v>2.1523893083568799E-4</v>
      </c>
      <c r="R89" s="4">
        <v>2.5628607974672899E-6</v>
      </c>
      <c r="S89" s="4">
        <v>2.7916220037835198E-6</v>
      </c>
      <c r="T89" s="4">
        <v>1.6342425259381099E-6</v>
      </c>
      <c r="U89" s="4">
        <v>1.28437764375126E-2</v>
      </c>
      <c r="V89" s="4">
        <v>8.1338560176307407E-3</v>
      </c>
      <c r="W89" s="4">
        <v>7.8050702292899806E-5</v>
      </c>
      <c r="X89" s="4">
        <v>0.25682526703157399</v>
      </c>
      <c r="Y89" s="4">
        <v>0.68035788427610999</v>
      </c>
    </row>
    <row r="90" spans="1:25" x14ac:dyDescent="0.25">
      <c r="A90" s="4" t="s">
        <v>24</v>
      </c>
      <c r="B90" s="4" t="s">
        <v>10</v>
      </c>
      <c r="C90" s="4">
        <v>1.3568209739360599</v>
      </c>
      <c r="D90" s="4"/>
      <c r="E90" s="4">
        <v>6.7773795195223298E-5</v>
      </c>
      <c r="F90" s="4">
        <v>0.18826993583659099</v>
      </c>
      <c r="G90" s="4">
        <v>5.0535768243019901E-3</v>
      </c>
      <c r="H90" s="4">
        <v>1.42038653506444E-2</v>
      </c>
      <c r="I90" s="4">
        <v>6.3965887242238605E-4</v>
      </c>
      <c r="J90" s="4">
        <v>9.77743523841694E-3</v>
      </c>
      <c r="K90" s="4">
        <v>2.5625741267022201E-3</v>
      </c>
      <c r="L90" s="4">
        <v>9.3187573335333403E-3</v>
      </c>
      <c r="M90" s="4">
        <v>8.3493877966728496E-4</v>
      </c>
      <c r="N90" s="4">
        <v>1.06264968634168E-3</v>
      </c>
      <c r="O90" s="4">
        <v>1.14211778082751E-5</v>
      </c>
      <c r="P90" s="4">
        <v>4.8097309547719999E-2</v>
      </c>
      <c r="Q90" s="4">
        <v>1.5670196600265599E-4</v>
      </c>
      <c r="R90" s="4">
        <v>1.83531618501701E-7</v>
      </c>
      <c r="S90" s="4">
        <v>1.0692488115842901E-6</v>
      </c>
      <c r="T90" s="4">
        <v>1.9341275832513101E-7</v>
      </c>
      <c r="U90" s="4">
        <v>6.2916862052272097E-3</v>
      </c>
      <c r="V90" s="4">
        <v>1.7363234212188199E-3</v>
      </c>
      <c r="W90" s="4">
        <v>2.3405719253337299E-5</v>
      </c>
      <c r="X90" s="4">
        <v>0.66523625322856506</v>
      </c>
      <c r="Y90" s="4">
        <v>0.40347526063326</v>
      </c>
    </row>
    <row r="91" spans="1:25" x14ac:dyDescent="0.25">
      <c r="A91" s="4" t="s">
        <v>46</v>
      </c>
      <c r="B91" s="4" t="s">
        <v>33</v>
      </c>
      <c r="C91" s="4">
        <v>8.1378399705381195E-3</v>
      </c>
      <c r="D91" s="4"/>
      <c r="E91" s="4">
        <v>-6.5816447995850699E-8</v>
      </c>
      <c r="F91" s="4">
        <v>2.75107060544777E-4</v>
      </c>
      <c r="G91" s="4">
        <v>4.6608487405200698E-5</v>
      </c>
      <c r="H91" s="4">
        <v>3.29121115545353E-4</v>
      </c>
      <c r="I91" s="4">
        <v>8.1596350705299497E-6</v>
      </c>
      <c r="J91" s="4">
        <v>1.67533511748536E-4</v>
      </c>
      <c r="K91" s="4">
        <v>3.5444882322186101E-4</v>
      </c>
      <c r="L91" s="4">
        <v>1.70499038700715E-4</v>
      </c>
      <c r="M91" s="4">
        <v>7.7005327017287898E-6</v>
      </c>
      <c r="N91" s="4">
        <v>2.3691305431335301E-5</v>
      </c>
      <c r="O91" s="4">
        <v>2.20649669005433E-7</v>
      </c>
      <c r="P91" s="4">
        <v>6.7592769333999999E-4</v>
      </c>
      <c r="Q91" s="4">
        <v>6.2385085829949497E-7</v>
      </c>
      <c r="R91" s="4">
        <v>4.0268282464195E-9</v>
      </c>
      <c r="S91" s="4">
        <v>7.9086191915102095E-9</v>
      </c>
      <c r="T91" s="4">
        <v>2.6463123822827699E-9</v>
      </c>
      <c r="U91" s="4">
        <v>5.0804441566484701E-5</v>
      </c>
      <c r="V91" s="4">
        <v>3.3667169923892199E-5</v>
      </c>
      <c r="W91" s="4">
        <v>3.16052031085868E-7</v>
      </c>
      <c r="X91" s="4">
        <v>3.9571627387783902E-3</v>
      </c>
      <c r="Y91" s="4">
        <v>2.03629909868909E-3</v>
      </c>
    </row>
    <row r="92" spans="1:25" x14ac:dyDescent="0.25">
      <c r="A92" s="4" t="s">
        <v>44</v>
      </c>
      <c r="B92" s="4" t="s">
        <v>73</v>
      </c>
      <c r="C92" s="4">
        <v>0.71297263316116999</v>
      </c>
      <c r="D92" s="4"/>
      <c r="E92" s="4">
        <v>1.44432468840119E-2</v>
      </c>
      <c r="F92" s="4">
        <v>3.0756875400799299E-2</v>
      </c>
      <c r="G92" s="4">
        <v>5.74239684720502E-3</v>
      </c>
      <c r="H92" s="4">
        <v>3.9030677211255298E-2</v>
      </c>
      <c r="I92" s="4">
        <v>5.96301624360813E-3</v>
      </c>
      <c r="J92" s="4">
        <v>6.8153348697937599E-2</v>
      </c>
      <c r="K92" s="4">
        <v>2.6504090557863E-2</v>
      </c>
      <c r="L92" s="4">
        <v>7.14071457807227E-2</v>
      </c>
      <c r="M92" s="4">
        <v>9.4874382692951905E-4</v>
      </c>
      <c r="N92" s="4">
        <v>2.7347534044662599E-3</v>
      </c>
      <c r="O92" s="4">
        <v>1.18492082500058E-5</v>
      </c>
      <c r="P92" s="4">
        <v>8.1913054396905105E-2</v>
      </c>
      <c r="Q92" s="4">
        <v>1.5864931217679999E-5</v>
      </c>
      <c r="R92" s="4">
        <v>2.17066107592151E-7</v>
      </c>
      <c r="S92" s="4">
        <v>5.7062704420556499E-7</v>
      </c>
      <c r="T92" s="4">
        <v>3.3765272863632599E-7</v>
      </c>
      <c r="U92" s="4">
        <v>5.1790149337927497E-3</v>
      </c>
      <c r="V92" s="4">
        <v>3.72408678334301E-3</v>
      </c>
      <c r="W92" s="4">
        <v>2.23644481351235E-5</v>
      </c>
      <c r="X92" s="4">
        <v>0.28247351741988802</v>
      </c>
      <c r="Y92" s="4">
        <v>7.3947460838960005E-2</v>
      </c>
    </row>
    <row r="93" spans="1:25" x14ac:dyDescent="0.25">
      <c r="A93" s="4" t="s">
        <v>32</v>
      </c>
      <c r="B93" s="4" t="s">
        <v>29</v>
      </c>
      <c r="C93" s="4">
        <v>28.1507902532123</v>
      </c>
      <c r="D93" s="4"/>
      <c r="E93" s="4">
        <v>5.8311311729022995E-4</v>
      </c>
      <c r="F93" s="4">
        <v>24.836365611373299</v>
      </c>
      <c r="G93" s="4">
        <v>1.5576772527549101E-2</v>
      </c>
      <c r="H93" s="4">
        <v>0.15247673568041301</v>
      </c>
      <c r="I93" s="4">
        <v>5.1674892541889198E-3</v>
      </c>
      <c r="J93" s="4">
        <v>3.6948064230909003E-2</v>
      </c>
      <c r="K93" s="4">
        <v>3.2826905318309701E-2</v>
      </c>
      <c r="L93" s="4">
        <v>3.7777262079374901E-2</v>
      </c>
      <c r="M93" s="4">
        <v>2.5735537219428901E-3</v>
      </c>
      <c r="N93" s="4">
        <v>9.1080059582291494E-3</v>
      </c>
      <c r="O93" s="4">
        <v>2.0308289652593099E-5</v>
      </c>
      <c r="P93" s="4">
        <v>0.40482350787021598</v>
      </c>
      <c r="Q93" s="4">
        <v>5.2873535386392797E-3</v>
      </c>
      <c r="R93" s="4">
        <v>2.1546975339733498E-6</v>
      </c>
      <c r="S93" s="4">
        <v>1.52792016475573E-4</v>
      </c>
      <c r="T93" s="4">
        <v>6.9564443401218297E-7</v>
      </c>
      <c r="U93" s="4">
        <v>1.6178967310564101</v>
      </c>
      <c r="V93" s="4">
        <v>1.0213758823228E-2</v>
      </c>
      <c r="W93" s="4">
        <v>1.1926155710880999E-3</v>
      </c>
      <c r="X93" s="4">
        <v>0.69067424668879995</v>
      </c>
      <c r="Y93" s="4">
        <v>0.29112257575428002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J22" workbookViewId="0">
      <selection activeCell="J30" sqref="J30:Y48"/>
    </sheetView>
  </sheetViews>
  <sheetFormatPr defaultColWidth="9.109375" defaultRowHeight="13.2" x14ac:dyDescent="0.25"/>
  <cols>
    <col min="1" max="16384" width="9.109375" style="8"/>
  </cols>
  <sheetData>
    <row r="1" spans="1:17" x14ac:dyDescent="0.25">
      <c r="I1" s="9" t="s">
        <v>133</v>
      </c>
      <c r="J1" s="9"/>
    </row>
    <row r="2" spans="1:17" ht="14.4" x14ac:dyDescent="0.3">
      <c r="A2" s="8" t="s">
        <v>69</v>
      </c>
      <c r="B2" s="8" t="s">
        <v>134</v>
      </c>
      <c r="I2" s="10" t="s">
        <v>135</v>
      </c>
      <c r="J2" s="10"/>
      <c r="K2" s="10"/>
      <c r="L2" s="10"/>
      <c r="M2" s="10"/>
      <c r="N2" s="10"/>
      <c r="O2" s="10"/>
      <c r="P2" s="10"/>
      <c r="Q2" s="10"/>
    </row>
    <row r="3" spans="1:17" ht="14.4" x14ac:dyDescent="0.3">
      <c r="A3" s="8" t="s">
        <v>39</v>
      </c>
      <c r="B3" s="8" t="s">
        <v>40</v>
      </c>
      <c r="I3" s="10" t="s">
        <v>136</v>
      </c>
      <c r="J3" s="10"/>
      <c r="K3" s="10"/>
      <c r="L3" s="10"/>
      <c r="M3" s="10"/>
      <c r="N3" s="10"/>
      <c r="O3" s="10"/>
      <c r="P3" s="10"/>
      <c r="Q3" s="10"/>
    </row>
    <row r="4" spans="1:17" ht="14.4" x14ac:dyDescent="0.3">
      <c r="A4" s="8" t="s">
        <v>137</v>
      </c>
      <c r="B4" s="8" t="s">
        <v>138</v>
      </c>
      <c r="I4" s="10" t="s">
        <v>139</v>
      </c>
      <c r="J4" s="10"/>
      <c r="K4" s="10"/>
      <c r="L4" s="10"/>
      <c r="M4" s="10"/>
      <c r="N4" s="10"/>
      <c r="O4" s="10"/>
      <c r="P4" s="10"/>
      <c r="Q4" s="10"/>
    </row>
    <row r="5" spans="1:17" ht="14.4" x14ac:dyDescent="0.3">
      <c r="A5" s="8" t="s">
        <v>140</v>
      </c>
      <c r="B5" s="8" t="s">
        <v>102</v>
      </c>
      <c r="I5" s="10" t="s">
        <v>141</v>
      </c>
      <c r="J5" s="10"/>
      <c r="K5" s="10"/>
      <c r="L5" s="10"/>
      <c r="M5" s="10"/>
      <c r="N5" s="10"/>
      <c r="O5" s="10"/>
      <c r="P5" s="10"/>
      <c r="Q5" s="10"/>
    </row>
    <row r="6" spans="1:17" ht="14.4" x14ac:dyDescent="0.3">
      <c r="A6" s="8" t="s">
        <v>142</v>
      </c>
      <c r="B6" s="8" t="s">
        <v>143</v>
      </c>
      <c r="I6" s="10" t="s">
        <v>144</v>
      </c>
      <c r="J6" s="10"/>
      <c r="K6" s="10"/>
      <c r="L6" s="10"/>
      <c r="M6" s="10"/>
      <c r="N6" s="10"/>
      <c r="O6" s="10"/>
      <c r="P6" s="10"/>
      <c r="Q6" s="10"/>
    </row>
    <row r="7" spans="1:17" ht="14.4" x14ac:dyDescent="0.3">
      <c r="A7" s="8" t="s">
        <v>49</v>
      </c>
      <c r="B7" s="8" t="s">
        <v>58</v>
      </c>
      <c r="I7" s="10"/>
      <c r="J7" s="10"/>
      <c r="K7" s="10"/>
      <c r="L7" s="10"/>
      <c r="M7" s="10"/>
      <c r="N7" s="10"/>
      <c r="O7" s="10"/>
      <c r="P7" s="10"/>
      <c r="Q7" s="10"/>
    </row>
    <row r="8" spans="1:17" ht="14.4" x14ac:dyDescent="0.3">
      <c r="I8" s="11"/>
      <c r="J8" s="11"/>
      <c r="K8" s="11"/>
      <c r="L8" s="11"/>
      <c r="M8" s="11"/>
      <c r="N8" s="11"/>
      <c r="O8" s="11"/>
      <c r="P8" s="11"/>
      <c r="Q8" s="11"/>
    </row>
    <row r="9" spans="1:17" ht="14.4" x14ac:dyDescent="0.3">
      <c r="A9" s="8" t="s">
        <v>22</v>
      </c>
      <c r="B9" s="8" t="s">
        <v>43</v>
      </c>
      <c r="C9" s="8" t="s">
        <v>145</v>
      </c>
      <c r="D9" s="8" t="s">
        <v>146</v>
      </c>
      <c r="E9" s="8" t="s">
        <v>147</v>
      </c>
      <c r="I9" s="11" t="s">
        <v>148</v>
      </c>
      <c r="J9" s="11" t="s">
        <v>149</v>
      </c>
      <c r="K9" s="11" t="s">
        <v>150</v>
      </c>
      <c r="L9" s="10" t="s">
        <v>151</v>
      </c>
      <c r="N9" s="11"/>
      <c r="P9" s="11"/>
      <c r="Q9" s="11"/>
    </row>
    <row r="10" spans="1:17" ht="14.4" x14ac:dyDescent="0.3">
      <c r="A10" s="8" t="s">
        <v>18</v>
      </c>
      <c r="B10" s="8" t="s">
        <v>59</v>
      </c>
      <c r="C10" s="8">
        <v>180.218581913262</v>
      </c>
      <c r="D10" s="8">
        <v>168.20364499655199</v>
      </c>
      <c r="E10" s="8">
        <v>216.26339791626</v>
      </c>
      <c r="I10" s="10" t="s">
        <v>18</v>
      </c>
      <c r="J10" s="12">
        <v>77.777213628023418</v>
      </c>
      <c r="K10" s="12">
        <v>83.332909613787322</v>
      </c>
      <c r="L10" s="13">
        <v>100</v>
      </c>
      <c r="N10" s="10"/>
      <c r="P10" s="10"/>
      <c r="Q10" s="10"/>
    </row>
    <row r="11" spans="1:17" ht="14.4" x14ac:dyDescent="0.3">
      <c r="A11" s="8" t="s">
        <v>66</v>
      </c>
      <c r="B11" s="8" t="s">
        <v>0</v>
      </c>
      <c r="C11" s="8">
        <v>2.1126012956047399E-5</v>
      </c>
      <c r="D11" s="8">
        <v>1.99781536610582E-5</v>
      </c>
      <c r="E11" s="8">
        <v>2.4569591538075899E-5</v>
      </c>
      <c r="I11" s="10" t="s">
        <v>66</v>
      </c>
      <c r="J11" s="12">
        <v>81.312518484882773</v>
      </c>
      <c r="K11" s="12">
        <v>85.984388154390047</v>
      </c>
      <c r="L11" s="13">
        <v>100</v>
      </c>
      <c r="N11" s="10"/>
      <c r="P11" s="10"/>
      <c r="Q11" s="10"/>
    </row>
    <row r="12" spans="1:17" ht="14.4" x14ac:dyDescent="0.3">
      <c r="A12" s="8" t="s">
        <v>47</v>
      </c>
      <c r="B12" s="8" t="s">
        <v>28</v>
      </c>
      <c r="C12" s="8">
        <v>0.87741724916400599</v>
      </c>
      <c r="D12" s="8">
        <v>0.79424828331331998</v>
      </c>
      <c r="E12" s="8">
        <v>1.12692416931172</v>
      </c>
      <c r="I12" s="10" t="s">
        <v>47</v>
      </c>
      <c r="J12" s="12">
        <v>70.479301530857754</v>
      </c>
      <c r="K12" s="12">
        <v>77.859475646874969</v>
      </c>
      <c r="L12" s="13">
        <v>100</v>
      </c>
      <c r="N12" s="10"/>
      <c r="P12" s="10"/>
      <c r="Q12" s="10"/>
    </row>
    <row r="13" spans="1:17" ht="14.4" x14ac:dyDescent="0.3">
      <c r="A13" s="8" t="s">
        <v>45</v>
      </c>
      <c r="B13" s="8" t="s">
        <v>34</v>
      </c>
      <c r="C13" s="8">
        <v>0.20241259983971199</v>
      </c>
      <c r="D13" s="8">
        <v>0.17230917529397499</v>
      </c>
      <c r="E13" s="8">
        <v>0.29272287366215699</v>
      </c>
      <c r="I13" s="10" t="s">
        <v>45</v>
      </c>
      <c r="J13" s="12">
        <v>58.864267468501261</v>
      </c>
      <c r="K13" s="12">
        <v>69.148200585555799</v>
      </c>
      <c r="L13" s="13">
        <v>100</v>
      </c>
      <c r="N13" s="10"/>
      <c r="P13" s="10"/>
      <c r="Q13" s="10"/>
    </row>
    <row r="14" spans="1:17" ht="14.4" x14ac:dyDescent="0.3">
      <c r="A14" s="8" t="s">
        <v>15</v>
      </c>
      <c r="B14" s="8" t="s">
        <v>65</v>
      </c>
      <c r="C14" s="8">
        <v>7.6907530527232107E-2</v>
      </c>
      <c r="D14" s="8">
        <v>6.1573840363456402E-2</v>
      </c>
      <c r="E14" s="8">
        <v>0.122908601703419</v>
      </c>
      <c r="I14" s="10" t="s">
        <v>15</v>
      </c>
      <c r="J14" s="12">
        <v>50.097258865604189</v>
      </c>
      <c r="K14" s="12">
        <v>62.572944009900411</v>
      </c>
      <c r="L14" s="13">
        <v>100</v>
      </c>
      <c r="N14" s="10"/>
      <c r="P14" s="10"/>
      <c r="Q14" s="10"/>
    </row>
    <row r="15" spans="1:17" ht="14.4" x14ac:dyDescent="0.3">
      <c r="A15" s="8" t="s">
        <v>56</v>
      </c>
      <c r="B15" s="8" t="s">
        <v>21</v>
      </c>
      <c r="C15" s="8">
        <v>197.50038500309199</v>
      </c>
      <c r="D15" s="8">
        <v>147.40926216992801</v>
      </c>
      <c r="E15" s="8">
        <v>347.77375243883301</v>
      </c>
      <c r="I15" s="10" t="s">
        <v>56</v>
      </c>
      <c r="J15" s="12">
        <v>42.38654042640983</v>
      </c>
      <c r="K15" s="12">
        <v>56.789905396275927</v>
      </c>
      <c r="L15" s="13">
        <v>100</v>
      </c>
      <c r="N15" s="10"/>
      <c r="P15" s="10"/>
      <c r="Q15" s="10"/>
    </row>
    <row r="16" spans="1:17" ht="14.4" x14ac:dyDescent="0.3">
      <c r="A16" s="8" t="s">
        <v>26</v>
      </c>
      <c r="B16" s="8" t="s">
        <v>3</v>
      </c>
      <c r="C16" s="8">
        <v>0.44325117996139701</v>
      </c>
      <c r="D16" s="8">
        <v>0.39129557819460697</v>
      </c>
      <c r="E16" s="8">
        <v>0.59911799674175004</v>
      </c>
      <c r="I16" s="10" t="s">
        <v>26</v>
      </c>
      <c r="J16" s="12">
        <v>65.311938603519337</v>
      </c>
      <c r="K16" s="12">
        <v>73.98395347360271</v>
      </c>
      <c r="L16" s="13">
        <v>100</v>
      </c>
      <c r="N16" s="10"/>
      <c r="P16" s="10"/>
      <c r="Q16" s="10"/>
    </row>
    <row r="17" spans="1:17" ht="14.4" x14ac:dyDescent="0.3">
      <c r="A17" s="8" t="s">
        <v>31</v>
      </c>
      <c r="B17" s="8" t="s">
        <v>5</v>
      </c>
      <c r="C17" s="8">
        <v>0.31602116900011901</v>
      </c>
      <c r="D17" s="8">
        <v>0.27683300574410102</v>
      </c>
      <c r="E17" s="8">
        <v>0.43358566665460102</v>
      </c>
      <c r="I17" s="10" t="s">
        <v>31</v>
      </c>
      <c r="J17" s="12">
        <v>63.847360979446087</v>
      </c>
      <c r="K17" s="12">
        <v>72.88552027986313</v>
      </c>
      <c r="L17" s="13">
        <v>100</v>
      </c>
      <c r="N17" s="10"/>
      <c r="P17" s="10"/>
      <c r="Q17" s="10"/>
    </row>
    <row r="18" spans="1:17" ht="14.4" x14ac:dyDescent="0.3">
      <c r="A18" s="8" t="s">
        <v>64</v>
      </c>
      <c r="B18" s="8" t="s">
        <v>21</v>
      </c>
      <c r="C18" s="8">
        <v>1.6512403532526299E-2</v>
      </c>
      <c r="D18" s="8">
        <v>1.3442620752195499E-2</v>
      </c>
      <c r="E18" s="8">
        <v>2.572175216872E-2</v>
      </c>
      <c r="I18" s="10" t="s">
        <v>64</v>
      </c>
      <c r="J18" s="12">
        <v>52.261683667658254</v>
      </c>
      <c r="K18" s="12">
        <v>64.19626246382569</v>
      </c>
      <c r="L18" s="13">
        <v>100</v>
      </c>
      <c r="N18" s="10"/>
      <c r="P18" s="10"/>
      <c r="Q18" s="10"/>
    </row>
    <row r="19" spans="1:17" ht="14.4" x14ac:dyDescent="0.3">
      <c r="A19" s="8" t="s">
        <v>6</v>
      </c>
      <c r="B19" s="8" t="s">
        <v>21</v>
      </c>
      <c r="C19" s="8">
        <v>5.34853054964581</v>
      </c>
      <c r="D19" s="8">
        <v>4.26943997110304</v>
      </c>
      <c r="E19" s="8">
        <v>8.5858022821019304</v>
      </c>
      <c r="I19" s="10" t="s">
        <v>6</v>
      </c>
      <c r="J19" s="12">
        <v>49.726744581611939</v>
      </c>
      <c r="K19" s="14">
        <v>62.295058445445761</v>
      </c>
      <c r="L19" s="13">
        <v>100</v>
      </c>
      <c r="N19" s="10"/>
      <c r="P19" s="10"/>
      <c r="Q19" s="10"/>
    </row>
    <row r="20" spans="1:17" ht="14.4" x14ac:dyDescent="0.3">
      <c r="A20" s="8" t="s">
        <v>14</v>
      </c>
      <c r="B20" s="8" t="s">
        <v>21</v>
      </c>
      <c r="C20" s="8">
        <v>5.0541418066061796</v>
      </c>
      <c r="D20" s="8">
        <v>4.0296932349493799</v>
      </c>
      <c r="E20" s="8">
        <v>8.1274875203890407</v>
      </c>
      <c r="I20" s="10" t="s">
        <v>14</v>
      </c>
      <c r="J20" s="14">
        <v>49.581044878140808</v>
      </c>
      <c r="K20" s="12">
        <v>62.185783662258466</v>
      </c>
      <c r="L20" s="13">
        <v>100</v>
      </c>
      <c r="N20" s="10"/>
      <c r="P20" s="10"/>
      <c r="Q20" s="10"/>
    </row>
    <row r="21" spans="1:17" ht="14.4" x14ac:dyDescent="0.3">
      <c r="A21" s="8" t="s">
        <v>50</v>
      </c>
      <c r="B21" s="8" t="s">
        <v>68</v>
      </c>
      <c r="C21" s="8">
        <v>79.342703870864497</v>
      </c>
      <c r="D21" s="8">
        <v>78.196576848347107</v>
      </c>
      <c r="E21" s="8">
        <v>82.781088168663501</v>
      </c>
      <c r="I21" s="10" t="s">
        <v>50</v>
      </c>
      <c r="J21" s="12">
        <v>94.461885653187323</v>
      </c>
      <c r="K21" s="12">
        <v>95.846413264351582</v>
      </c>
      <c r="L21" s="13">
        <v>100</v>
      </c>
      <c r="N21" s="10"/>
      <c r="P21" s="10"/>
      <c r="Q21" s="10"/>
    </row>
    <row r="22" spans="1:17" ht="14.4" x14ac:dyDescent="0.3">
      <c r="A22" s="8" t="s">
        <v>7</v>
      </c>
      <c r="B22" s="8" t="s">
        <v>10</v>
      </c>
      <c r="C22" s="8">
        <v>22.937130211435299</v>
      </c>
      <c r="D22" s="8">
        <v>22.071448397136901</v>
      </c>
      <c r="E22" s="8">
        <v>25.5341764583547</v>
      </c>
      <c r="I22" s="10" t="s">
        <v>7</v>
      </c>
      <c r="J22" s="12">
        <v>86.438849645825172</v>
      </c>
      <c r="K22" s="12">
        <v>89.829136447164942</v>
      </c>
      <c r="L22" s="13">
        <v>100</v>
      </c>
      <c r="N22" s="10"/>
      <c r="P22" s="10"/>
      <c r="Q22" s="10"/>
    </row>
    <row r="23" spans="1:17" ht="14.4" x14ac:dyDescent="0.3">
      <c r="A23" s="8" t="s">
        <v>24</v>
      </c>
      <c r="B23" s="8" t="s">
        <v>10</v>
      </c>
      <c r="C23" s="8">
        <v>1.5226582171766201</v>
      </c>
      <c r="D23" s="8">
        <v>1.2524621615774101</v>
      </c>
      <c r="E23" s="8">
        <v>2.3332464248012799</v>
      </c>
      <c r="I23" s="10" t="s">
        <v>24</v>
      </c>
      <c r="J23" s="12">
        <v>53.678949135605471</v>
      </c>
      <c r="K23" s="12">
        <v>65.259211414255319</v>
      </c>
      <c r="L23" s="13">
        <v>100</v>
      </c>
      <c r="N23" s="10"/>
      <c r="P23" s="10"/>
      <c r="Q23" s="10"/>
    </row>
    <row r="24" spans="1:17" ht="14.4" x14ac:dyDescent="0.3">
      <c r="A24" s="8" t="s">
        <v>46</v>
      </c>
      <c r="B24" s="8" t="s">
        <v>33</v>
      </c>
      <c r="C24" s="8">
        <v>2.1009814724207099E-2</v>
      </c>
      <c r="D24" s="8">
        <v>1.88487713164129E-2</v>
      </c>
      <c r="E24" s="8">
        <v>2.7492945718925001E-2</v>
      </c>
      <c r="I24" s="10" t="s">
        <v>46</v>
      </c>
      <c r="J24" s="12">
        <v>68.558573203155376</v>
      </c>
      <c r="K24" s="12">
        <v>76.41892920097267</v>
      </c>
      <c r="L24" s="13">
        <v>100</v>
      </c>
      <c r="N24" s="10"/>
      <c r="P24" s="10"/>
      <c r="Q24" s="10"/>
    </row>
    <row r="25" spans="1:17" ht="14.4" x14ac:dyDescent="0.3">
      <c r="A25" s="8" t="s">
        <v>44</v>
      </c>
      <c r="B25" s="8" t="s">
        <v>73</v>
      </c>
      <c r="C25" s="8">
        <v>2.5239731158601799</v>
      </c>
      <c r="D25" s="8">
        <v>2.43113332030179</v>
      </c>
      <c r="E25" s="8">
        <v>2.80249256495676</v>
      </c>
      <c r="I25" s="10" t="s">
        <v>44</v>
      </c>
      <c r="J25" s="12">
        <v>86.748965927740159</v>
      </c>
      <c r="K25" s="12">
        <v>90.061723888966768</v>
      </c>
      <c r="L25" s="13">
        <v>100</v>
      </c>
      <c r="N25" s="10"/>
      <c r="P25" s="10"/>
      <c r="Q25" s="10"/>
    </row>
    <row r="26" spans="1:17" ht="14.4" x14ac:dyDescent="0.3">
      <c r="A26" s="8" t="s">
        <v>32</v>
      </c>
      <c r="B26" s="8" t="s">
        <v>29</v>
      </c>
      <c r="C26" s="8">
        <v>24.0555655555664</v>
      </c>
      <c r="D26" s="8">
        <v>14.838689260419599</v>
      </c>
      <c r="E26" s="8">
        <v>51.706194424125997</v>
      </c>
      <c r="I26" s="10" t="s">
        <v>32</v>
      </c>
      <c r="J26" s="14">
        <v>28.698088160779356</v>
      </c>
      <c r="K26" s="12">
        <v>46.52356612874636</v>
      </c>
      <c r="L26" s="13">
        <v>100</v>
      </c>
      <c r="N26" s="10"/>
      <c r="P26" s="10"/>
      <c r="Q26" s="10"/>
    </row>
    <row r="27" spans="1:17" ht="14.4" x14ac:dyDescent="0.3">
      <c r="A27" s="8" t="s">
        <v>53</v>
      </c>
      <c r="B27" s="8" t="s">
        <v>52</v>
      </c>
      <c r="C27" s="8">
        <v>47.355195199662802</v>
      </c>
      <c r="D27" s="8">
        <v>44.5178602534832</v>
      </c>
      <c r="E27" s="8">
        <v>55.867201740058199</v>
      </c>
      <c r="I27" s="10" t="s">
        <v>53</v>
      </c>
      <c r="J27" s="12">
        <v>79.685144175679611</v>
      </c>
      <c r="K27" s="12">
        <v>84.763857370196263</v>
      </c>
      <c r="L27" s="13">
        <v>100</v>
      </c>
      <c r="N27" s="10"/>
      <c r="P27" s="10"/>
      <c r="Q27" s="10"/>
    </row>
    <row r="28" spans="1:17" ht="14.4" x14ac:dyDescent="0.3"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I29" s="8" t="s">
        <v>152</v>
      </c>
    </row>
    <row r="30" spans="1:17" ht="14.4" x14ac:dyDescent="0.3">
      <c r="I30" s="11" t="s">
        <v>148</v>
      </c>
      <c r="J30" s="11" t="s">
        <v>153</v>
      </c>
      <c r="K30" s="10" t="s">
        <v>154</v>
      </c>
      <c r="L30" s="11" t="s">
        <v>145</v>
      </c>
      <c r="M30" s="11" t="s">
        <v>147</v>
      </c>
      <c r="N30" s="10"/>
      <c r="O30" s="11" t="s">
        <v>146</v>
      </c>
    </row>
    <row r="31" spans="1:17" ht="14.4" x14ac:dyDescent="0.3">
      <c r="I31" s="10" t="s">
        <v>18</v>
      </c>
      <c r="J31" s="15">
        <f>L31-O31+100</f>
        <v>105.5556959857639</v>
      </c>
      <c r="K31" s="15">
        <f>M31-O31+100</f>
        <v>122.22278637197658</v>
      </c>
      <c r="L31" s="12">
        <v>83.332909613787322</v>
      </c>
      <c r="M31" s="13">
        <v>100</v>
      </c>
      <c r="N31" s="10"/>
      <c r="O31" s="12">
        <v>77.777213628023418</v>
      </c>
    </row>
    <row r="32" spans="1:17" ht="14.4" x14ac:dyDescent="0.3">
      <c r="I32" s="10" t="s">
        <v>66</v>
      </c>
      <c r="J32" s="15">
        <f t="shared" ref="J32:J48" si="0">L32-O32+100</f>
        <v>104.67186966950727</v>
      </c>
      <c r="K32" s="15">
        <f t="shared" ref="K32:K48" si="1">M32-O32+100</f>
        <v>118.68748151511723</v>
      </c>
      <c r="L32" s="12">
        <v>85.984388154390047</v>
      </c>
      <c r="M32" s="13">
        <v>100</v>
      </c>
      <c r="N32" s="10"/>
      <c r="O32" s="12">
        <v>81.312518484882773</v>
      </c>
    </row>
    <row r="33" spans="9:15" ht="14.4" x14ac:dyDescent="0.3">
      <c r="I33" s="10" t="s">
        <v>47</v>
      </c>
      <c r="J33" s="15">
        <f t="shared" si="0"/>
        <v>107.38017411601722</v>
      </c>
      <c r="K33" s="15">
        <f t="shared" si="1"/>
        <v>129.52069846914225</v>
      </c>
      <c r="L33" s="12">
        <v>77.859475646874969</v>
      </c>
      <c r="M33" s="13">
        <v>100</v>
      </c>
      <c r="N33" s="10"/>
      <c r="O33" s="12">
        <v>70.479301530857754</v>
      </c>
    </row>
    <row r="34" spans="9:15" ht="14.4" x14ac:dyDescent="0.3">
      <c r="I34" s="10" t="s">
        <v>45</v>
      </c>
      <c r="J34" s="15">
        <f t="shared" si="0"/>
        <v>110.28393311705454</v>
      </c>
      <c r="K34" s="15">
        <f t="shared" si="1"/>
        <v>141.13573253149875</v>
      </c>
      <c r="L34" s="12">
        <v>69.148200585555799</v>
      </c>
      <c r="M34" s="13">
        <v>100</v>
      </c>
      <c r="N34" s="10"/>
      <c r="O34" s="12">
        <v>58.864267468501261</v>
      </c>
    </row>
    <row r="35" spans="9:15" ht="14.4" x14ac:dyDescent="0.3">
      <c r="I35" s="10" t="s">
        <v>15</v>
      </c>
      <c r="J35" s="15">
        <f t="shared" si="0"/>
        <v>112.47568514429622</v>
      </c>
      <c r="K35" s="15">
        <f t="shared" si="1"/>
        <v>149.9027411343958</v>
      </c>
      <c r="L35" s="12">
        <v>62.572944009900411</v>
      </c>
      <c r="M35" s="13">
        <v>100</v>
      </c>
      <c r="N35" s="10"/>
      <c r="O35" s="12">
        <v>50.097258865604189</v>
      </c>
    </row>
    <row r="36" spans="9:15" ht="14.4" x14ac:dyDescent="0.3">
      <c r="I36" s="10" t="s">
        <v>56</v>
      </c>
      <c r="J36" s="15">
        <f t="shared" si="0"/>
        <v>114.40336496986609</v>
      </c>
      <c r="K36" s="15">
        <f t="shared" si="1"/>
        <v>157.61345957359018</v>
      </c>
      <c r="L36" s="12">
        <v>56.789905396275927</v>
      </c>
      <c r="M36" s="13">
        <v>100</v>
      </c>
      <c r="N36" s="10"/>
      <c r="O36" s="12">
        <v>42.38654042640983</v>
      </c>
    </row>
    <row r="37" spans="9:15" ht="14.4" x14ac:dyDescent="0.3">
      <c r="I37" s="10" t="s">
        <v>26</v>
      </c>
      <c r="J37" s="15">
        <f t="shared" si="0"/>
        <v>108.67201487008337</v>
      </c>
      <c r="K37" s="15">
        <f t="shared" si="1"/>
        <v>134.68806139648066</v>
      </c>
      <c r="L37" s="12">
        <v>73.98395347360271</v>
      </c>
      <c r="M37" s="13">
        <v>100</v>
      </c>
      <c r="N37" s="10"/>
      <c r="O37" s="12">
        <v>65.311938603519337</v>
      </c>
    </row>
    <row r="38" spans="9:15" ht="14.4" x14ac:dyDescent="0.3">
      <c r="I38" s="10" t="s">
        <v>31</v>
      </c>
      <c r="J38" s="15">
        <f t="shared" si="0"/>
        <v>109.03815930041705</v>
      </c>
      <c r="K38" s="15">
        <f t="shared" si="1"/>
        <v>136.15263902055392</v>
      </c>
      <c r="L38" s="12">
        <v>72.88552027986313</v>
      </c>
      <c r="M38" s="13">
        <v>100</v>
      </c>
      <c r="N38" s="10"/>
      <c r="O38" s="12">
        <v>63.847360979446087</v>
      </c>
    </row>
    <row r="39" spans="9:15" ht="14.4" x14ac:dyDescent="0.3">
      <c r="I39" s="10" t="s">
        <v>64</v>
      </c>
      <c r="J39" s="15">
        <f t="shared" si="0"/>
        <v>111.93457879616744</v>
      </c>
      <c r="K39" s="15">
        <f t="shared" si="1"/>
        <v>147.73831633234175</v>
      </c>
      <c r="L39" s="12">
        <v>64.19626246382569</v>
      </c>
      <c r="M39" s="13">
        <v>100</v>
      </c>
      <c r="N39" s="10"/>
      <c r="O39" s="12">
        <v>52.261683667658254</v>
      </c>
    </row>
    <row r="40" spans="9:15" ht="14.4" x14ac:dyDescent="0.3">
      <c r="I40" s="10" t="s">
        <v>6</v>
      </c>
      <c r="J40" s="15">
        <f t="shared" si="0"/>
        <v>112.56831386383382</v>
      </c>
      <c r="K40" s="15">
        <f t="shared" si="1"/>
        <v>150.27325541838806</v>
      </c>
      <c r="L40" s="14">
        <v>62.295058445445761</v>
      </c>
      <c r="M40" s="13">
        <v>100</v>
      </c>
      <c r="N40" s="10"/>
      <c r="O40" s="12">
        <v>49.726744581611939</v>
      </c>
    </row>
    <row r="41" spans="9:15" ht="14.4" x14ac:dyDescent="0.3">
      <c r="I41" s="10" t="s">
        <v>14</v>
      </c>
      <c r="J41" s="15">
        <f t="shared" si="0"/>
        <v>112.60473878411766</v>
      </c>
      <c r="K41" s="15">
        <f t="shared" si="1"/>
        <v>150.4189551218592</v>
      </c>
      <c r="L41" s="12">
        <v>62.185783662258466</v>
      </c>
      <c r="M41" s="13">
        <v>100</v>
      </c>
      <c r="N41" s="10"/>
      <c r="O41" s="14">
        <v>49.581044878140808</v>
      </c>
    </row>
    <row r="42" spans="9:15" ht="14.4" x14ac:dyDescent="0.3">
      <c r="I42" s="10" t="s">
        <v>50</v>
      </c>
      <c r="J42" s="15">
        <f t="shared" si="0"/>
        <v>101.38452761116426</v>
      </c>
      <c r="K42" s="15">
        <f t="shared" si="1"/>
        <v>105.53811434681268</v>
      </c>
      <c r="L42" s="12">
        <v>95.846413264351582</v>
      </c>
      <c r="M42" s="13">
        <v>100</v>
      </c>
      <c r="N42" s="10"/>
      <c r="O42" s="12">
        <v>94.461885653187323</v>
      </c>
    </row>
    <row r="43" spans="9:15" ht="14.4" x14ac:dyDescent="0.3">
      <c r="I43" s="10" t="s">
        <v>7</v>
      </c>
      <c r="J43" s="15">
        <f t="shared" si="0"/>
        <v>103.39028680133977</v>
      </c>
      <c r="K43" s="15">
        <f t="shared" si="1"/>
        <v>113.56115035417483</v>
      </c>
      <c r="L43" s="12">
        <v>89.829136447164942</v>
      </c>
      <c r="M43" s="13">
        <v>100</v>
      </c>
      <c r="N43" s="10"/>
      <c r="O43" s="12">
        <v>86.438849645825172</v>
      </c>
    </row>
    <row r="44" spans="9:15" ht="14.4" x14ac:dyDescent="0.3">
      <c r="I44" s="10" t="s">
        <v>24</v>
      </c>
      <c r="J44" s="15">
        <f t="shared" si="0"/>
        <v>111.58026227864985</v>
      </c>
      <c r="K44" s="15">
        <f t="shared" si="1"/>
        <v>146.32105086439452</v>
      </c>
      <c r="L44" s="12">
        <v>65.259211414255319</v>
      </c>
      <c r="M44" s="13">
        <v>100</v>
      </c>
      <c r="N44" s="10"/>
      <c r="O44" s="12">
        <v>53.678949135605471</v>
      </c>
    </row>
    <row r="45" spans="9:15" ht="14.4" x14ac:dyDescent="0.3">
      <c r="I45" s="10" t="s">
        <v>46</v>
      </c>
      <c r="J45" s="15">
        <f t="shared" si="0"/>
        <v>107.86035599781729</v>
      </c>
      <c r="K45" s="15">
        <f t="shared" si="1"/>
        <v>131.44142679684461</v>
      </c>
      <c r="L45" s="12">
        <v>76.41892920097267</v>
      </c>
      <c r="M45" s="13">
        <v>100</v>
      </c>
      <c r="N45" s="10"/>
      <c r="O45" s="12">
        <v>68.558573203155376</v>
      </c>
    </row>
    <row r="46" spans="9:15" ht="14.4" x14ac:dyDescent="0.3">
      <c r="I46" s="10" t="s">
        <v>44</v>
      </c>
      <c r="J46" s="15">
        <f t="shared" si="0"/>
        <v>103.31275796122661</v>
      </c>
      <c r="K46" s="15">
        <f t="shared" si="1"/>
        <v>113.25103407225984</v>
      </c>
      <c r="L46" s="12">
        <v>90.061723888966768</v>
      </c>
      <c r="M46" s="13">
        <v>100</v>
      </c>
      <c r="N46" s="10"/>
      <c r="O46" s="12">
        <v>86.748965927740159</v>
      </c>
    </row>
    <row r="47" spans="9:15" ht="14.4" x14ac:dyDescent="0.3">
      <c r="I47" s="10" t="s">
        <v>32</v>
      </c>
      <c r="J47" s="15">
        <f t="shared" si="0"/>
        <v>117.825477967967</v>
      </c>
      <c r="K47" s="15">
        <f t="shared" si="1"/>
        <v>171.30191183922065</v>
      </c>
      <c r="L47" s="12">
        <v>46.52356612874636</v>
      </c>
      <c r="M47" s="13">
        <v>100</v>
      </c>
      <c r="N47" s="10"/>
      <c r="O47" s="14">
        <v>28.698088160779356</v>
      </c>
    </row>
    <row r="48" spans="9:15" ht="14.4" x14ac:dyDescent="0.3">
      <c r="I48" s="10" t="s">
        <v>53</v>
      </c>
      <c r="J48" s="15">
        <f t="shared" si="0"/>
        <v>105.07871319451665</v>
      </c>
      <c r="K48" s="15">
        <f t="shared" si="1"/>
        <v>120.31485582432039</v>
      </c>
      <c r="L48" s="12">
        <v>84.763857370196263</v>
      </c>
      <c r="M48" s="13">
        <v>100</v>
      </c>
      <c r="N48" s="10"/>
      <c r="O48" s="12">
        <v>79.685144175679611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topLeftCell="L1" workbookViewId="0">
      <selection activeCell="M9" sqref="M9"/>
    </sheetView>
  </sheetViews>
  <sheetFormatPr defaultColWidth="9.109375" defaultRowHeight="13.2" x14ac:dyDescent="0.25"/>
  <cols>
    <col min="1" max="16384" width="9.109375" style="8"/>
  </cols>
  <sheetData>
    <row r="1" spans="1:19" x14ac:dyDescent="0.25">
      <c r="L1" s="9" t="s">
        <v>133</v>
      </c>
      <c r="M1" s="9"/>
    </row>
    <row r="2" spans="1:19" x14ac:dyDescent="0.25">
      <c r="A2" s="8" t="s">
        <v>69</v>
      </c>
      <c r="B2" s="8" t="s">
        <v>134</v>
      </c>
      <c r="L2" s="8" t="s">
        <v>135</v>
      </c>
    </row>
    <row r="3" spans="1:19" x14ac:dyDescent="0.25">
      <c r="A3" s="8" t="s">
        <v>39</v>
      </c>
      <c r="B3" s="8" t="s">
        <v>40</v>
      </c>
      <c r="L3" s="8" t="s">
        <v>155</v>
      </c>
    </row>
    <row r="4" spans="1:19" x14ac:dyDescent="0.25">
      <c r="A4" s="8" t="s">
        <v>137</v>
      </c>
      <c r="B4" s="8" t="s">
        <v>156</v>
      </c>
      <c r="L4" s="8" t="s">
        <v>157</v>
      </c>
    </row>
    <row r="5" spans="1:19" x14ac:dyDescent="0.25">
      <c r="A5" s="8" t="s">
        <v>140</v>
      </c>
      <c r="B5" s="8" t="s">
        <v>158</v>
      </c>
      <c r="L5" s="8" t="s">
        <v>141</v>
      </c>
    </row>
    <row r="6" spans="1:19" x14ac:dyDescent="0.25">
      <c r="A6" s="8" t="s">
        <v>142</v>
      </c>
      <c r="B6" s="8" t="s">
        <v>159</v>
      </c>
      <c r="L6" s="8" t="s">
        <v>144</v>
      </c>
    </row>
    <row r="7" spans="1:19" x14ac:dyDescent="0.25">
      <c r="A7" s="8" t="s">
        <v>160</v>
      </c>
      <c r="B7" s="8" t="s">
        <v>161</v>
      </c>
    </row>
    <row r="8" spans="1:19" x14ac:dyDescent="0.25">
      <c r="A8" s="8" t="s">
        <v>49</v>
      </c>
      <c r="B8" s="8" t="s">
        <v>58</v>
      </c>
    </row>
    <row r="9" spans="1:19" x14ac:dyDescent="0.25">
      <c r="L9" s="8" t="s">
        <v>148</v>
      </c>
      <c r="M9" s="8" t="s">
        <v>162</v>
      </c>
      <c r="N9" s="8" t="s">
        <v>163</v>
      </c>
      <c r="P9" s="8" t="s">
        <v>164</v>
      </c>
      <c r="R9" s="8" t="s">
        <v>165</v>
      </c>
    </row>
    <row r="10" spans="1:19" x14ac:dyDescent="0.25">
      <c r="A10" s="8" t="s">
        <v>22</v>
      </c>
      <c r="B10" s="8" t="s">
        <v>43</v>
      </c>
      <c r="C10" s="8" t="s">
        <v>162</v>
      </c>
      <c r="D10" s="8" t="s">
        <v>163</v>
      </c>
      <c r="E10" s="8" t="s">
        <v>164</v>
      </c>
      <c r="F10" s="8" t="s">
        <v>165</v>
      </c>
      <c r="L10" s="8" t="s">
        <v>18</v>
      </c>
      <c r="M10" s="8">
        <v>100</v>
      </c>
      <c r="N10" s="8">
        <v>81.642272709113001</v>
      </c>
      <c r="O10" s="8">
        <v>-18.357727290886999</v>
      </c>
      <c r="P10" s="8">
        <v>85.346048882274005</v>
      </c>
      <c r="Q10" s="8">
        <v>-14.653951117725995</v>
      </c>
      <c r="R10" s="8">
        <v>93.603495050083012</v>
      </c>
      <c r="S10" s="8">
        <v>-6.3965049499169879</v>
      </c>
    </row>
    <row r="11" spans="1:19" x14ac:dyDescent="0.25">
      <c r="A11" s="8" t="s">
        <v>18</v>
      </c>
      <c r="B11" s="8" t="s">
        <v>59</v>
      </c>
      <c r="C11" s="8">
        <v>168.20364499655199</v>
      </c>
      <c r="D11" s="8">
        <v>137.325278554753</v>
      </c>
      <c r="E11" s="8">
        <v>143.55516508052401</v>
      </c>
      <c r="F11" s="8">
        <v>157.44449051840701</v>
      </c>
      <c r="L11" s="8" t="s">
        <v>66</v>
      </c>
      <c r="M11" s="8">
        <v>100</v>
      </c>
      <c r="N11" s="8">
        <v>78.781151232547131</v>
      </c>
      <c r="O11" s="8">
        <v>-21.218848767452869</v>
      </c>
      <c r="P11" s="8">
        <v>83.682129443191073</v>
      </c>
      <c r="Q11" s="8">
        <v>-16.317870556808927</v>
      </c>
      <c r="R11" s="8">
        <v>92.314266102347915</v>
      </c>
      <c r="S11" s="8">
        <v>-7.685733897652085</v>
      </c>
    </row>
    <row r="12" spans="1:19" x14ac:dyDescent="0.25">
      <c r="A12" s="8" t="s">
        <v>66</v>
      </c>
      <c r="B12" s="8" t="s">
        <v>0</v>
      </c>
      <c r="C12" s="8">
        <v>1.99781536610582E-5</v>
      </c>
      <c r="D12" s="8">
        <v>1.5739019449188899E-5</v>
      </c>
      <c r="E12" s="8">
        <v>1.6718144407006299E-5</v>
      </c>
      <c r="F12" s="8">
        <v>1.84426859330052E-5</v>
      </c>
      <c r="L12" s="8" t="s">
        <v>47</v>
      </c>
      <c r="M12" s="8">
        <v>100</v>
      </c>
      <c r="N12" s="8">
        <v>83.73048552160796</v>
      </c>
      <c r="O12" s="8">
        <v>-16.26951447839204</v>
      </c>
      <c r="P12" s="8">
        <v>86.728564517157309</v>
      </c>
      <c r="Q12" s="8">
        <v>-13.271435482842691</v>
      </c>
      <c r="R12" s="8">
        <v>94.605022355682678</v>
      </c>
      <c r="S12" s="8">
        <v>-5.3949776443173221</v>
      </c>
    </row>
    <row r="13" spans="1:19" x14ac:dyDescent="0.25">
      <c r="A13" s="8" t="s">
        <v>47</v>
      </c>
      <c r="B13" s="8" t="s">
        <v>28</v>
      </c>
      <c r="C13" s="8">
        <v>0.79424828331331998</v>
      </c>
      <c r="D13" s="8">
        <v>0.66502794386527997</v>
      </c>
      <c r="E13" s="8">
        <v>0.68884013481980699</v>
      </c>
      <c r="F13" s="8">
        <v>0.751398765988193</v>
      </c>
      <c r="L13" s="8" t="s">
        <v>45</v>
      </c>
      <c r="M13" s="8">
        <v>100</v>
      </c>
      <c r="N13" s="8">
        <v>88.01985337762342</v>
      </c>
      <c r="O13" s="8">
        <v>-11.98014662237658</v>
      </c>
      <c r="P13" s="8">
        <v>89.515312772720236</v>
      </c>
      <c r="Q13" s="8">
        <v>-10.484687227279764</v>
      </c>
      <c r="R13" s="8">
        <v>97.935461789220696</v>
      </c>
      <c r="S13" s="8">
        <v>-2.064538210779304</v>
      </c>
    </row>
    <row r="14" spans="1:19" x14ac:dyDescent="0.25">
      <c r="A14" s="8" t="s">
        <v>45</v>
      </c>
      <c r="B14" s="8" t="s">
        <v>34</v>
      </c>
      <c r="C14" s="8">
        <v>0.17230917529397499</v>
      </c>
      <c r="D14" s="8">
        <v>0.15166628344994901</v>
      </c>
      <c r="E14" s="8">
        <v>0.154243097200497</v>
      </c>
      <c r="F14" s="8">
        <v>0.16875178652935199</v>
      </c>
      <c r="L14" s="8" t="s">
        <v>15</v>
      </c>
      <c r="M14" s="8">
        <v>100</v>
      </c>
      <c r="N14" s="8">
        <v>93.365848875554519</v>
      </c>
      <c r="O14" s="8">
        <v>-6.6341511244454807</v>
      </c>
      <c r="P14" s="8">
        <v>94.780729496526689</v>
      </c>
      <c r="Q14" s="8">
        <v>-5.2192705034733109</v>
      </c>
      <c r="R14" s="8">
        <v>99.008303283272625</v>
      </c>
      <c r="S14" s="8">
        <v>-0.99169671672737536</v>
      </c>
    </row>
    <row r="15" spans="1:19" x14ac:dyDescent="0.25">
      <c r="A15" s="8" t="s">
        <v>15</v>
      </c>
      <c r="B15" s="8" t="s">
        <v>65</v>
      </c>
      <c r="C15" s="8">
        <v>6.1573840363456402E-2</v>
      </c>
      <c r="D15" s="8">
        <v>5.7488938740619902E-2</v>
      </c>
      <c r="E15" s="8">
        <v>5.8360135075510799E-2</v>
      </c>
      <c r="F15" s="8">
        <v>6.09632146102091E-2</v>
      </c>
      <c r="L15" s="8" t="s">
        <v>56</v>
      </c>
      <c r="M15" s="8">
        <v>95.370470953887832</v>
      </c>
      <c r="N15" s="8">
        <v>95.719850353147606</v>
      </c>
      <c r="O15" s="8">
        <v>0.34937939925977446</v>
      </c>
      <c r="P15" s="8">
        <v>93.07879922682524</v>
      </c>
      <c r="Q15" s="8">
        <v>-2.2916717270625924</v>
      </c>
      <c r="R15" s="8">
        <v>100</v>
      </c>
      <c r="S15" s="8">
        <v>4.6295290461121681</v>
      </c>
    </row>
    <row r="16" spans="1:19" x14ac:dyDescent="0.25">
      <c r="A16" s="8" t="s">
        <v>56</v>
      </c>
      <c r="B16" s="8" t="s">
        <v>21</v>
      </c>
      <c r="C16" s="8">
        <v>147.40926216992801</v>
      </c>
      <c r="D16" s="8">
        <v>147.949280049122</v>
      </c>
      <c r="E16" s="8">
        <v>143.86714231833099</v>
      </c>
      <c r="F16" s="8">
        <v>154.56488858191901</v>
      </c>
      <c r="L16" s="8" t="s">
        <v>26</v>
      </c>
      <c r="M16" s="8">
        <v>100</v>
      </c>
      <c r="N16" s="8">
        <v>86.244481580166848</v>
      </c>
      <c r="O16" s="8">
        <v>-13.755518419833152</v>
      </c>
      <c r="P16" s="8">
        <v>88.483170837773031</v>
      </c>
      <c r="Q16" s="8">
        <v>-11.516829162226969</v>
      </c>
      <c r="R16" s="8">
        <v>95.890523725692461</v>
      </c>
      <c r="S16" s="8">
        <v>-4.1094762743075393</v>
      </c>
    </row>
    <row r="17" spans="1:19" x14ac:dyDescent="0.25">
      <c r="A17" s="8" t="s">
        <v>26</v>
      </c>
      <c r="B17" s="8" t="s">
        <v>3</v>
      </c>
      <c r="C17" s="8">
        <v>0.39129557819460697</v>
      </c>
      <c r="D17" s="8">
        <v>0.33747084286005502</v>
      </c>
      <c r="E17" s="8">
        <v>0.346230734934586</v>
      </c>
      <c r="F17" s="8">
        <v>0.37521537924628501</v>
      </c>
      <c r="L17" s="8" t="s">
        <v>31</v>
      </c>
      <c r="M17" s="8">
        <v>100</v>
      </c>
      <c r="N17" s="8">
        <v>86.89566835434357</v>
      </c>
      <c r="O17" s="8">
        <v>-13.10433164565643</v>
      </c>
      <c r="P17" s="8">
        <v>88.828142947289265</v>
      </c>
      <c r="Q17" s="8">
        <v>-11.171857052710735</v>
      </c>
      <c r="R17" s="8">
        <v>96.139893330326771</v>
      </c>
      <c r="S17" s="8">
        <v>-3.8601066696732289</v>
      </c>
    </row>
    <row r="18" spans="1:19" x14ac:dyDescent="0.25">
      <c r="A18" s="8" t="s">
        <v>31</v>
      </c>
      <c r="B18" s="8" t="s">
        <v>5</v>
      </c>
      <c r="C18" s="8">
        <v>0.27683300574410102</v>
      </c>
      <c r="D18" s="8">
        <v>0.240555890566755</v>
      </c>
      <c r="E18" s="8">
        <v>0.24590561806764799</v>
      </c>
      <c r="F18" s="8">
        <v>0.266146956425516</v>
      </c>
      <c r="L18" s="8" t="s">
        <v>64</v>
      </c>
      <c r="M18" s="8">
        <v>64.840442971681469</v>
      </c>
      <c r="N18" s="8">
        <v>59.868686164620897</v>
      </c>
      <c r="O18" s="8">
        <v>-4.9717568070605722</v>
      </c>
      <c r="P18" s="8">
        <v>95.903650555935641</v>
      </c>
      <c r="Q18" s="8">
        <v>31.063207584254172</v>
      </c>
      <c r="R18" s="8">
        <v>100</v>
      </c>
      <c r="S18" s="8">
        <v>35.159557028318531</v>
      </c>
    </row>
    <row r="19" spans="1:19" x14ac:dyDescent="0.25">
      <c r="A19" s="8" t="s">
        <v>64</v>
      </c>
      <c r="B19" s="8" t="s">
        <v>21</v>
      </c>
      <c r="C19" s="8">
        <v>1.3442620752195499E-2</v>
      </c>
      <c r="D19" s="8">
        <v>1.2411883789793E-2</v>
      </c>
      <c r="E19" s="8">
        <v>1.98825970966542E-2</v>
      </c>
      <c r="F19" s="8">
        <v>2.07318459530982E-2</v>
      </c>
      <c r="L19" s="8" t="s">
        <v>6</v>
      </c>
      <c r="M19" s="8">
        <v>98.825386172275856</v>
      </c>
      <c r="N19" s="8">
        <v>92.968364008579414</v>
      </c>
      <c r="O19" s="8">
        <v>-5.8570221636964419</v>
      </c>
      <c r="P19" s="8">
        <v>92.577732753901216</v>
      </c>
      <c r="Q19" s="8">
        <v>-6.2476534183746395</v>
      </c>
      <c r="R19" s="8">
        <v>100</v>
      </c>
      <c r="S19" s="8">
        <v>1.1746138277241442</v>
      </c>
    </row>
    <row r="20" spans="1:19" x14ac:dyDescent="0.25">
      <c r="A20" s="8" t="s">
        <v>6</v>
      </c>
      <c r="B20" s="8" t="s">
        <v>21</v>
      </c>
      <c r="C20" s="8">
        <v>4.26943997110304</v>
      </c>
      <c r="D20" s="8">
        <v>4.0164057507891302</v>
      </c>
      <c r="E20" s="8">
        <v>3.9995297560950398</v>
      </c>
      <c r="F20" s="8">
        <v>4.3201854669815303</v>
      </c>
      <c r="L20" s="8" t="s">
        <v>14</v>
      </c>
      <c r="M20" s="8">
        <v>98.936645803527711</v>
      </c>
      <c r="N20" s="8">
        <v>92.797883340372167</v>
      </c>
      <c r="O20" s="8">
        <v>-6.138762463155544</v>
      </c>
      <c r="P20" s="8">
        <v>92.514480965919589</v>
      </c>
      <c r="Q20" s="8">
        <v>-6.422164837608122</v>
      </c>
      <c r="R20" s="8">
        <v>100</v>
      </c>
      <c r="S20" s="8">
        <v>1.0633541964722895</v>
      </c>
    </row>
    <row r="21" spans="1:19" x14ac:dyDescent="0.25">
      <c r="A21" s="8" t="s">
        <v>14</v>
      </c>
      <c r="B21" s="8" t="s">
        <v>21</v>
      </c>
      <c r="C21" s="8">
        <v>4.0296932349493799</v>
      </c>
      <c r="D21" s="8">
        <v>3.7796612132669098</v>
      </c>
      <c r="E21" s="8">
        <v>3.7681182240961602</v>
      </c>
      <c r="F21" s="8">
        <v>4.0730036906160203</v>
      </c>
      <c r="L21" s="8" t="s">
        <v>50</v>
      </c>
      <c r="M21" s="8">
        <v>100</v>
      </c>
      <c r="N21" s="8">
        <v>75.648382491758852</v>
      </c>
      <c r="O21" s="8">
        <v>-24.351617508241148</v>
      </c>
      <c r="P21" s="8">
        <v>81.565414296938798</v>
      </c>
      <c r="Q21" s="8">
        <v>-18.434585703061202</v>
      </c>
      <c r="R21" s="8">
        <v>90.936888687568867</v>
      </c>
      <c r="S21" s="8">
        <v>-9.0631113124311327</v>
      </c>
    </row>
    <row r="22" spans="1:19" x14ac:dyDescent="0.25">
      <c r="A22" s="8" t="s">
        <v>50</v>
      </c>
      <c r="B22" s="8" t="s">
        <v>68</v>
      </c>
      <c r="C22" s="8">
        <v>78.196576848347107</v>
      </c>
      <c r="D22" s="8">
        <v>59.154445549699801</v>
      </c>
      <c r="E22" s="8">
        <v>63.781361872378397</v>
      </c>
      <c r="F22" s="8">
        <v>71.109534046070607</v>
      </c>
      <c r="L22" s="8" t="s">
        <v>7</v>
      </c>
      <c r="M22" s="8">
        <v>100</v>
      </c>
      <c r="N22" s="8">
        <v>77.524216675158854</v>
      </c>
      <c r="O22" s="8">
        <v>-22.475783324841146</v>
      </c>
      <c r="P22" s="8">
        <v>82.930847175121826</v>
      </c>
      <c r="Q22" s="8">
        <v>-17.069152824878174</v>
      </c>
      <c r="R22" s="8">
        <v>91.829823217072516</v>
      </c>
      <c r="S22" s="8">
        <v>-8.1701767829274843</v>
      </c>
    </row>
    <row r="23" spans="1:19" x14ac:dyDescent="0.25">
      <c r="A23" s="8" t="s">
        <v>7</v>
      </c>
      <c r="B23" s="8" t="s">
        <v>10</v>
      </c>
      <c r="C23" s="8">
        <v>22.071448397136901</v>
      </c>
      <c r="D23" s="8">
        <v>17.110717478742298</v>
      </c>
      <c r="E23" s="8">
        <v>18.3040391395655</v>
      </c>
      <c r="F23" s="8">
        <v>20.268172044538201</v>
      </c>
      <c r="L23" s="8" t="s">
        <v>24</v>
      </c>
      <c r="M23" s="8">
        <v>100</v>
      </c>
      <c r="N23" s="8">
        <v>92.802642860853396</v>
      </c>
      <c r="O23" s="8">
        <v>-7.1973571391466038</v>
      </c>
      <c r="P23" s="8">
        <v>92.36997028379902</v>
      </c>
      <c r="Q23" s="8">
        <v>-7.6300297162009798</v>
      </c>
      <c r="R23" s="8">
        <v>99.392878366607334</v>
      </c>
      <c r="S23" s="8">
        <v>-0.60712163339266567</v>
      </c>
    </row>
    <row r="24" spans="1:19" x14ac:dyDescent="0.25">
      <c r="A24" s="8" t="s">
        <v>24</v>
      </c>
      <c r="B24" s="8" t="s">
        <v>10</v>
      </c>
      <c r="C24" s="8">
        <v>1.2524621615774101</v>
      </c>
      <c r="D24" s="8">
        <v>1.1623179867760101</v>
      </c>
      <c r="E24" s="8">
        <v>1.1568989264648799</v>
      </c>
      <c r="F24" s="8">
        <v>1.24485819284442</v>
      </c>
      <c r="L24" s="8" t="s">
        <v>46</v>
      </c>
      <c r="M24" s="8">
        <v>100</v>
      </c>
      <c r="N24" s="8">
        <v>83.59200787745597</v>
      </c>
      <c r="O24" s="8">
        <v>-16.40799212254403</v>
      </c>
      <c r="P24" s="8">
        <v>87.008080268358768</v>
      </c>
      <c r="Q24" s="8">
        <v>-12.991919731641232</v>
      </c>
      <c r="R24" s="8">
        <v>94.85553604966961</v>
      </c>
      <c r="S24" s="8">
        <v>-5.1444639503303904</v>
      </c>
    </row>
    <row r="25" spans="1:19" x14ac:dyDescent="0.25">
      <c r="A25" s="8" t="s">
        <v>46</v>
      </c>
      <c r="B25" s="8" t="s">
        <v>33</v>
      </c>
      <c r="C25" s="8">
        <v>1.88487713164129E-2</v>
      </c>
      <c r="D25" s="8">
        <v>1.5756066403619599E-2</v>
      </c>
      <c r="E25" s="8">
        <v>1.6399954076584001E-2</v>
      </c>
      <c r="F25" s="8">
        <v>1.7879103070959902E-2</v>
      </c>
      <c r="L25" s="8" t="s">
        <v>44</v>
      </c>
      <c r="M25" s="8">
        <v>100</v>
      </c>
      <c r="N25" s="8">
        <v>77.558170718233399</v>
      </c>
      <c r="O25" s="8">
        <v>-22.441829281766601</v>
      </c>
      <c r="P25" s="8">
        <v>82.889854018095548</v>
      </c>
      <c r="Q25" s="8">
        <v>-17.110145981904452</v>
      </c>
      <c r="R25" s="8">
        <v>91.817373477061963</v>
      </c>
      <c r="S25" s="8">
        <v>-8.1826265229380368</v>
      </c>
    </row>
    <row r="26" spans="1:19" x14ac:dyDescent="0.25">
      <c r="A26" s="8" t="s">
        <v>44</v>
      </c>
      <c r="B26" s="8" t="s">
        <v>73</v>
      </c>
      <c r="C26" s="8">
        <v>2.43113332030179</v>
      </c>
      <c r="D26" s="8">
        <v>1.88554253094752</v>
      </c>
      <c r="E26" s="8">
        <v>2.0151628601834299</v>
      </c>
      <c r="F26" s="8">
        <v>2.23220276042679</v>
      </c>
      <c r="L26" s="8" t="s">
        <v>32</v>
      </c>
      <c r="M26" s="8">
        <v>85.784933072770272</v>
      </c>
      <c r="N26" s="8">
        <v>100</v>
      </c>
      <c r="O26" s="8">
        <v>14.215066927229728</v>
      </c>
      <c r="P26" s="8">
        <v>94.45340733889698</v>
      </c>
      <c r="Q26" s="8">
        <v>8.668474266126708</v>
      </c>
      <c r="R26" s="8">
        <v>95.15247742453468</v>
      </c>
      <c r="S26" s="8">
        <v>9.3675443517644084</v>
      </c>
    </row>
    <row r="27" spans="1:19" x14ac:dyDescent="0.25">
      <c r="A27" s="8" t="s">
        <v>32</v>
      </c>
      <c r="B27" s="8" t="s">
        <v>29</v>
      </c>
      <c r="C27" s="8">
        <v>14.838689260419599</v>
      </c>
      <c r="D27" s="8">
        <v>17.297547166974201</v>
      </c>
      <c r="E27" s="8">
        <v>16.338122685259901</v>
      </c>
      <c r="F27" s="8">
        <v>16.459044663053302</v>
      </c>
      <c r="L27" s="8" t="s">
        <v>53</v>
      </c>
      <c r="M27" s="8">
        <v>100</v>
      </c>
      <c r="N27" s="8">
        <v>80.720417058526877</v>
      </c>
      <c r="O27" s="8">
        <v>-19.279582941473123</v>
      </c>
      <c r="P27" s="8">
        <v>84.806305297192722</v>
      </c>
      <c r="Q27" s="8">
        <v>-15.193694702807278</v>
      </c>
      <c r="R27" s="8">
        <v>93.236579240232516</v>
      </c>
      <c r="S27" s="8">
        <v>-6.7634207597674845</v>
      </c>
    </row>
    <row r="28" spans="1:19" x14ac:dyDescent="0.25">
      <c r="A28" s="8" t="s">
        <v>53</v>
      </c>
      <c r="B28" s="8" t="s">
        <v>52</v>
      </c>
      <c r="C28" s="8">
        <v>44.5178602534832</v>
      </c>
      <c r="D28" s="8">
        <v>35.9350024621438</v>
      </c>
      <c r="E28" s="8">
        <v>37.753952478346598</v>
      </c>
      <c r="F28" s="8">
        <v>41.506930051294802</v>
      </c>
    </row>
    <row r="33" spans="1:15" ht="14.4" x14ac:dyDescent="0.3">
      <c r="L33" s="11" t="s">
        <v>148</v>
      </c>
      <c r="M33" s="10" t="s">
        <v>166</v>
      </c>
      <c r="N33" s="10" t="s">
        <v>167</v>
      </c>
      <c r="O33" s="10" t="s">
        <v>168</v>
      </c>
    </row>
    <row r="34" spans="1:15" ht="14.4" x14ac:dyDescent="0.3">
      <c r="L34" s="10" t="s">
        <v>18</v>
      </c>
      <c r="M34" s="10">
        <f>-18.357727290887+100</f>
        <v>81.642272709113001</v>
      </c>
      <c r="N34" s="10">
        <f>-14.653951117726+100</f>
        <v>85.346048882274005</v>
      </c>
      <c r="O34" s="10">
        <f>-6.39650494991699+100</f>
        <v>93.603495050083012</v>
      </c>
    </row>
    <row r="35" spans="1:15" ht="14.4" x14ac:dyDescent="0.3">
      <c r="A35" s="10" t="s">
        <v>135</v>
      </c>
      <c r="B35" s="10"/>
      <c r="C35" s="10"/>
      <c r="D35" s="10"/>
      <c r="E35" s="10"/>
      <c r="L35" s="10" t="s">
        <v>66</v>
      </c>
      <c r="M35" s="10">
        <f>-21.2188487674529+100</f>
        <v>78.781151232547103</v>
      </c>
      <c r="N35" s="10">
        <f>-16.3178705568089+100</f>
        <v>83.682129443191101</v>
      </c>
      <c r="O35" s="10">
        <f>-7.68573389765209+100</f>
        <v>92.314266102347915</v>
      </c>
    </row>
    <row r="36" spans="1:15" ht="14.4" x14ac:dyDescent="0.3">
      <c r="A36" s="10" t="s">
        <v>169</v>
      </c>
      <c r="B36" s="10"/>
      <c r="C36" s="10"/>
      <c r="D36" s="10"/>
      <c r="E36" s="10"/>
      <c r="L36" s="10" t="s">
        <v>47</v>
      </c>
      <c r="M36" s="10">
        <f>-16.269514478392+100</f>
        <v>83.730485521608003</v>
      </c>
      <c r="N36" s="10">
        <f>-13.2714354828427+100</f>
        <v>86.728564517157295</v>
      </c>
      <c r="O36" s="10">
        <f>-5.39497764431732+100</f>
        <v>94.605022355682678</v>
      </c>
    </row>
    <row r="37" spans="1:15" ht="14.4" x14ac:dyDescent="0.3">
      <c r="A37" s="10" t="s">
        <v>157</v>
      </c>
      <c r="B37" s="10"/>
      <c r="C37" s="10"/>
      <c r="D37" s="10"/>
      <c r="E37" s="10"/>
      <c r="L37" s="10" t="s">
        <v>45</v>
      </c>
      <c r="M37" s="10">
        <f>-11.9801466223766+100</f>
        <v>88.019853377623406</v>
      </c>
      <c r="N37" s="10">
        <f>-10.4846872272798+100</f>
        <v>89.515312772720193</v>
      </c>
      <c r="O37" s="10">
        <f>-2.0645382107793+100</f>
        <v>97.935461789220696</v>
      </c>
    </row>
    <row r="38" spans="1:15" ht="14.4" x14ac:dyDescent="0.3">
      <c r="A38" s="16" t="s">
        <v>170</v>
      </c>
      <c r="B38" s="16"/>
      <c r="C38" s="16"/>
      <c r="D38" s="16"/>
      <c r="E38" s="16"/>
      <c r="F38" s="9"/>
      <c r="G38" s="9"/>
      <c r="L38" s="10" t="s">
        <v>15</v>
      </c>
      <c r="M38" s="10">
        <f>-6.63415112444548+100</f>
        <v>93.365848875554519</v>
      </c>
      <c r="N38" s="10">
        <f>-5.21927050347331+100</f>
        <v>94.780729496526689</v>
      </c>
      <c r="O38" s="10">
        <f>-0.991696716727375+100</f>
        <v>99.008303283272625</v>
      </c>
    </row>
    <row r="39" spans="1:15" ht="14.4" x14ac:dyDescent="0.3">
      <c r="A39" s="10" t="s">
        <v>171</v>
      </c>
      <c r="B39" s="10"/>
      <c r="C39" s="10"/>
      <c r="D39" s="10"/>
      <c r="E39" s="10"/>
      <c r="L39" s="10" t="s">
        <v>56</v>
      </c>
      <c r="M39" s="10">
        <f>0.349379399259774+100</f>
        <v>100.34937939925977</v>
      </c>
      <c r="N39" s="10">
        <f>-2.29167172706259+100</f>
        <v>97.708328272937408</v>
      </c>
      <c r="O39" s="10">
        <f>4.62952904611217+100</f>
        <v>104.62952904611217</v>
      </c>
    </row>
    <row r="40" spans="1:15" ht="14.4" x14ac:dyDescent="0.3">
      <c r="A40" s="10"/>
      <c r="B40" s="10"/>
      <c r="C40" s="10"/>
      <c r="D40" s="10"/>
      <c r="E40" s="10"/>
      <c r="L40" s="10" t="s">
        <v>26</v>
      </c>
      <c r="M40" s="10">
        <f>-13.7555184198332+100</f>
        <v>86.244481580166806</v>
      </c>
      <c r="N40" s="10">
        <f>-11.516829162227+100</f>
        <v>88.483170837773002</v>
      </c>
      <c r="O40" s="10">
        <f>-4.10947627430754+100</f>
        <v>95.890523725692461</v>
      </c>
    </row>
    <row r="41" spans="1:15" ht="14.4" x14ac:dyDescent="0.3">
      <c r="A41" s="11"/>
      <c r="B41" s="11"/>
      <c r="C41" s="11"/>
      <c r="D41" s="11"/>
      <c r="E41" s="11"/>
      <c r="L41" s="10" t="s">
        <v>31</v>
      </c>
      <c r="M41" s="10">
        <f>-13.1043316456564+100</f>
        <v>86.895668354343599</v>
      </c>
      <c r="N41" s="10">
        <f>-11.1718570527107+100</f>
        <v>88.828142947289294</v>
      </c>
      <c r="O41" s="10">
        <f>-3.86010666967323+100</f>
        <v>96.139893330326771</v>
      </c>
    </row>
    <row r="42" spans="1:15" ht="14.4" x14ac:dyDescent="0.3">
      <c r="A42" s="11" t="s">
        <v>148</v>
      </c>
      <c r="B42" s="11" t="s">
        <v>172</v>
      </c>
      <c r="C42" s="11" t="s">
        <v>166</v>
      </c>
      <c r="D42" s="11" t="s">
        <v>167</v>
      </c>
      <c r="E42" s="11" t="s">
        <v>168</v>
      </c>
      <c r="L42" s="10" t="s">
        <v>64</v>
      </c>
      <c r="M42" s="10">
        <f>-4.97175680706057+100</f>
        <v>95.028243192939428</v>
      </c>
      <c r="N42" s="10">
        <f>31.0632075842542+100</f>
        <v>131.0632075842542</v>
      </c>
      <c r="O42" s="10">
        <f>35.1595570283185+100</f>
        <v>135.15955702831849</v>
      </c>
    </row>
    <row r="43" spans="1:15" ht="14.4" x14ac:dyDescent="0.3">
      <c r="A43" s="10" t="s">
        <v>18</v>
      </c>
      <c r="B43" s="14">
        <v>1.5003765133692452E-2</v>
      </c>
      <c r="C43" s="12">
        <v>1.2249414847084011E-2</v>
      </c>
      <c r="D43" s="12">
        <v>1.2805120725182726E-2</v>
      </c>
      <c r="E43" s="14">
        <v>1.4044048554242013E-2</v>
      </c>
      <c r="L43" s="10" t="s">
        <v>6</v>
      </c>
      <c r="M43" s="10">
        <f>-5.85702216369644+100</f>
        <v>94.142977836303558</v>
      </c>
      <c r="N43" s="10">
        <f>-6.24765341837464+100</f>
        <v>93.75234658162536</v>
      </c>
      <c r="O43" s="10">
        <f>1.17461382772414+100</f>
        <v>101.17461382772414</v>
      </c>
    </row>
    <row r="44" spans="1:15" ht="14.4" x14ac:dyDescent="0.3">
      <c r="A44" s="10" t="s">
        <v>66</v>
      </c>
      <c r="B44" s="12">
        <v>9.0700817621204187E-4</v>
      </c>
      <c r="C44" s="12">
        <v>7.145514829931765E-4</v>
      </c>
      <c r="D44" s="12">
        <v>7.5900375607808746E-4</v>
      </c>
      <c r="E44" s="12">
        <v>8.3729794135843627E-4</v>
      </c>
      <c r="L44" s="10" t="s">
        <v>14</v>
      </c>
      <c r="M44" s="10">
        <f>-6.13876246315554+100</f>
        <v>93.861237536844456</v>
      </c>
      <c r="N44" s="10">
        <f>-6.42216483760812+100</f>
        <v>93.577835162391878</v>
      </c>
      <c r="O44" s="10">
        <f>1.06335419647229+100</f>
        <v>101.06335419647229</v>
      </c>
    </row>
    <row r="45" spans="1:15" ht="14.4" x14ac:dyDescent="0.3">
      <c r="A45" s="10" t="s">
        <v>47</v>
      </c>
      <c r="B45" s="12">
        <v>2.3112625044417686E-2</v>
      </c>
      <c r="C45" s="12">
        <v>1.9352313166479621E-2</v>
      </c>
      <c r="D45" s="17">
        <v>2.0045247923256463E-2</v>
      </c>
      <c r="E45" s="12">
        <v>2.186570409025659E-2</v>
      </c>
      <c r="L45" s="10" t="s">
        <v>50</v>
      </c>
      <c r="M45" s="10">
        <f>-24.3516175082411+100</f>
        <v>75.648382491758895</v>
      </c>
      <c r="N45" s="10">
        <f>-18.4345857030612+100</f>
        <v>81.565414296938798</v>
      </c>
      <c r="O45" s="10">
        <f>-9.06311131243113+100</f>
        <v>90.936888687568867</v>
      </c>
    </row>
    <row r="46" spans="1:15" ht="14.4" x14ac:dyDescent="0.3">
      <c r="A46" s="10" t="s">
        <v>45</v>
      </c>
      <c r="B46" s="12">
        <v>0.4152651124584803</v>
      </c>
      <c r="C46" s="12">
        <v>0.36551574311437751</v>
      </c>
      <c r="D46" s="12">
        <v>0.37172586425319681</v>
      </c>
      <c r="E46" s="12">
        <v>0.40669180553574091</v>
      </c>
      <c r="L46" s="10" t="s">
        <v>7</v>
      </c>
      <c r="M46" s="10">
        <f>-22.4757833248411+100</f>
        <v>77.524216675158897</v>
      </c>
      <c r="N46" s="10">
        <f>-17.0691528248782+100</f>
        <v>82.930847175121798</v>
      </c>
      <c r="O46" s="10">
        <f>-8.17017678292748+100</f>
        <v>91.829823217072516</v>
      </c>
    </row>
    <row r="47" spans="1:15" ht="14.4" x14ac:dyDescent="0.3">
      <c r="A47" s="10" t="s">
        <v>15</v>
      </c>
      <c r="B47" s="14">
        <v>6.0834954279094687E-3</v>
      </c>
      <c r="C47" s="12">
        <v>5.6799071475732666E-3</v>
      </c>
      <c r="D47" s="12">
        <v>5.7659813454604648E-3</v>
      </c>
      <c r="E47" s="14">
        <v>6.0231656034886553E-3</v>
      </c>
      <c r="L47" s="10" t="s">
        <v>24</v>
      </c>
      <c r="M47" s="10">
        <f>-7.1973571391466+100</f>
        <v>92.802642860853396</v>
      </c>
      <c r="N47" s="10">
        <f>-7.63002971620098+100</f>
        <v>92.36997028379902</v>
      </c>
      <c r="O47" s="10">
        <f>-0.607121633392666+100</f>
        <v>99.392878366607334</v>
      </c>
    </row>
    <row r="48" spans="1:15" ht="14.4" x14ac:dyDescent="0.3">
      <c r="A48" s="10" t="s">
        <v>56</v>
      </c>
      <c r="B48" s="12">
        <v>0.2343807268501861</v>
      </c>
      <c r="C48" s="12">
        <v>0.23523935527810483</v>
      </c>
      <c r="D48" s="12">
        <v>0.22874875628614597</v>
      </c>
      <c r="E48" s="12">
        <v>0.24575817284525078</v>
      </c>
      <c r="L48" s="10" t="s">
        <v>46</v>
      </c>
      <c r="M48" s="10">
        <f>-16.407992122544+100</f>
        <v>83.592007877455998</v>
      </c>
      <c r="N48" s="10">
        <f>-12.9919197316412+100</f>
        <v>87.008080268358796</v>
      </c>
      <c r="O48" s="10">
        <f>-5.14446395033039+100</f>
        <v>94.85553604966961</v>
      </c>
    </row>
    <row r="49" spans="1:23" ht="14.4" x14ac:dyDescent="0.3">
      <c r="A49" s="10" t="s">
        <v>26</v>
      </c>
      <c r="B49" s="12">
        <v>6.8868021762250407E-3</v>
      </c>
      <c r="C49" s="12">
        <v>5.9394868343370056E-3</v>
      </c>
      <c r="D49" s="14">
        <v>6.0936609348486966E-3</v>
      </c>
      <c r="E49" s="12">
        <v>6.6037906747346102E-3</v>
      </c>
      <c r="L49" s="10" t="s">
        <v>44</v>
      </c>
      <c r="M49" s="10">
        <f>-22.4418292817666+100</f>
        <v>77.558170718233399</v>
      </c>
      <c r="N49" s="10">
        <f>-17.1101459819045+100</f>
        <v>82.889854018095505</v>
      </c>
      <c r="O49" s="10">
        <f>-8.18262652293804+100</f>
        <v>91.817373477061963</v>
      </c>
    </row>
    <row r="50" spans="1:23" ht="14.4" x14ac:dyDescent="0.3">
      <c r="A50" s="10" t="s">
        <v>31</v>
      </c>
      <c r="B50" s="12">
        <v>1.8575494685429204E-2</v>
      </c>
      <c r="C50" s="12">
        <v>1.6141300257029249E-2</v>
      </c>
      <c r="D50" s="12">
        <v>1.6500266972339125E-2</v>
      </c>
      <c r="E50" s="12">
        <v>1.785846077615225E-2</v>
      </c>
      <c r="L50" s="10" t="s">
        <v>32</v>
      </c>
      <c r="M50" s="10">
        <f>14.2150669272297+100</f>
        <v>114.2150669272297</v>
      </c>
      <c r="N50" s="10">
        <f>8.66847426612671+100</f>
        <v>108.66847426612671</v>
      </c>
      <c r="O50" s="10">
        <f>9.36754435176441+100</f>
        <v>109.36754435176441</v>
      </c>
    </row>
    <row r="51" spans="1:23" ht="14.4" x14ac:dyDescent="0.3">
      <c r="A51" s="10" t="s">
        <v>64</v>
      </c>
      <c r="B51" s="12">
        <v>1.6265571110156516E-3</v>
      </c>
      <c r="C51" s="12">
        <v>1.5018379385649517E-3</v>
      </c>
      <c r="D51" s="12">
        <v>2.4057942486951523E-3</v>
      </c>
      <c r="E51" s="12">
        <v>2.5085533603248825E-3</v>
      </c>
      <c r="L51" s="10" t="s">
        <v>53</v>
      </c>
      <c r="M51" s="10">
        <f>-19.2795829414731+100</f>
        <v>80.720417058526891</v>
      </c>
      <c r="N51" s="10">
        <f>-15.1936947028073+100</f>
        <v>84.806305297192694</v>
      </c>
      <c r="O51" s="10">
        <f>-6.76342075976748+100</f>
        <v>93.236579240232516</v>
      </c>
    </row>
    <row r="52" spans="1:23" ht="14.4" x14ac:dyDescent="0.3">
      <c r="A52" s="10" t="s">
        <v>6</v>
      </c>
      <c r="B52" s="14">
        <v>0.38809209337326644</v>
      </c>
      <c r="C52" s="14">
        <v>0.36509128274673208</v>
      </c>
      <c r="D52" s="12">
        <v>0.3635572548290395</v>
      </c>
      <c r="E52" s="12">
        <v>0.39270485894862062</v>
      </c>
    </row>
    <row r="53" spans="1:23" ht="14.4" x14ac:dyDescent="0.3">
      <c r="A53" s="10" t="s">
        <v>14</v>
      </c>
      <c r="B53" s="12">
        <v>0.46341472201917822</v>
      </c>
      <c r="C53" s="12">
        <v>0.43466103952569557</v>
      </c>
      <c r="D53" s="12">
        <v>0.43333359577105934</v>
      </c>
      <c r="E53" s="12">
        <v>0.4683954244208417</v>
      </c>
    </row>
    <row r="54" spans="1:23" ht="14.4" x14ac:dyDescent="0.3">
      <c r="A54" s="10" t="s">
        <v>50</v>
      </c>
      <c r="B54" s="12">
        <v>1.2511452295735524E-2</v>
      </c>
      <c r="C54" s="12">
        <v>9.4647112879519546E-3</v>
      </c>
      <c r="D54" s="12">
        <v>1.0205017899580553E-2</v>
      </c>
      <c r="E54" s="12">
        <v>1.1377525447371318E-2</v>
      </c>
    </row>
    <row r="55" spans="1:23" ht="14.4" x14ac:dyDescent="0.3">
      <c r="A55" s="10" t="s">
        <v>7</v>
      </c>
      <c r="B55" s="12">
        <v>4.8777900957672482E-3</v>
      </c>
      <c r="C55" s="12">
        <v>3.7814685628020407E-3</v>
      </c>
      <c r="D55" s="14">
        <v>4.0451926498439742E-3</v>
      </c>
      <c r="E55" s="12">
        <v>4.4792660218429328E-3</v>
      </c>
    </row>
    <row r="56" spans="1:23" ht="14.4" x14ac:dyDescent="0.3">
      <c r="A56" s="10" t="s">
        <v>24</v>
      </c>
      <c r="B56" s="14">
        <v>3.081056917480441E-3</v>
      </c>
      <c r="C56" s="12">
        <v>2.8593022474689886E-3</v>
      </c>
      <c r="D56" s="12">
        <v>2.845971359103612E-3</v>
      </c>
      <c r="E56" s="14">
        <v>3.0623511543972724E-3</v>
      </c>
    </row>
    <row r="57" spans="1:23" ht="14.4" x14ac:dyDescent="0.3">
      <c r="A57" s="10" t="s">
        <v>46</v>
      </c>
      <c r="B57" s="12">
        <v>0.11667389444859619</v>
      </c>
      <c r="C57" s="12">
        <v>9.7530051038405216E-2</v>
      </c>
      <c r="D57" s="12">
        <v>0.10151571573405455</v>
      </c>
      <c r="E57" s="12">
        <v>0.11067164800924154</v>
      </c>
    </row>
    <row r="58" spans="1:23" ht="14.4" x14ac:dyDescent="0.3">
      <c r="A58" s="10" t="s">
        <v>44</v>
      </c>
      <c r="B58" s="15">
        <v>0</v>
      </c>
      <c r="C58" s="15">
        <v>0</v>
      </c>
      <c r="D58" s="15">
        <v>0</v>
      </c>
      <c r="E58" s="15">
        <v>0</v>
      </c>
    </row>
    <row r="59" spans="1:23" ht="14.4" x14ac:dyDescent="0.3">
      <c r="A59" s="10" t="s">
        <v>32</v>
      </c>
      <c r="B59" s="12">
        <v>2.0774164964587508E-2</v>
      </c>
      <c r="C59" s="12">
        <v>2.4216566033763789E-2</v>
      </c>
      <c r="D59" s="12">
        <v>2.2873371759363915E-2</v>
      </c>
      <c r="E59" s="14">
        <v>2.3042662528274655E-2</v>
      </c>
    </row>
    <row r="60" spans="1:23" ht="14.4" x14ac:dyDescent="0.3">
      <c r="A60" s="10" t="s">
        <v>53</v>
      </c>
      <c r="B60" s="12">
        <v>2.8624984142989706E-2</v>
      </c>
      <c r="C60" s="12">
        <v>2.3106206583158515E-2</v>
      </c>
      <c r="D60" s="12">
        <v>2.4275791443576812E-2</v>
      </c>
      <c r="E60" s="12">
        <v>2.6688956022982577E-2</v>
      </c>
    </row>
    <row r="61" spans="1:23" ht="14.4" x14ac:dyDescent="0.3">
      <c r="A61" s="10"/>
      <c r="B61" s="10"/>
      <c r="C61" s="10"/>
      <c r="D61" s="10"/>
      <c r="E61" s="10"/>
      <c r="R61" s="10" t="s">
        <v>135</v>
      </c>
      <c r="S61" s="10"/>
      <c r="T61" s="10"/>
      <c r="U61" s="10"/>
      <c r="V61" s="10"/>
      <c r="W61" s="10"/>
    </row>
    <row r="62" spans="1:23" ht="14.4" x14ac:dyDescent="0.3">
      <c r="A62" s="10"/>
      <c r="B62" s="10"/>
      <c r="C62" s="10"/>
      <c r="D62" s="10"/>
      <c r="E62" s="10"/>
      <c r="R62" s="10" t="s">
        <v>173</v>
      </c>
      <c r="S62" s="10"/>
      <c r="T62" s="10"/>
      <c r="U62" s="10"/>
      <c r="V62" s="10"/>
      <c r="W62" s="10"/>
    </row>
    <row r="63" spans="1:23" ht="14.4" x14ac:dyDescent="0.3">
      <c r="A63" s="10"/>
      <c r="B63" s="10"/>
      <c r="C63" s="10"/>
      <c r="D63" s="10"/>
      <c r="E63" s="10"/>
      <c r="R63" s="10" t="s">
        <v>157</v>
      </c>
      <c r="S63" s="10"/>
      <c r="T63" s="10"/>
      <c r="U63" s="10"/>
      <c r="V63" s="10"/>
      <c r="W63" s="10"/>
    </row>
    <row r="64" spans="1:23" ht="14.4" x14ac:dyDescent="0.3">
      <c r="A64" s="10"/>
      <c r="B64" s="10"/>
      <c r="C64" s="10"/>
      <c r="D64" s="10"/>
      <c r="E64" s="10"/>
      <c r="R64" s="10" t="s">
        <v>174</v>
      </c>
      <c r="S64" s="10"/>
      <c r="T64" s="10"/>
      <c r="U64" s="10"/>
      <c r="V64" s="10"/>
      <c r="W64" s="10"/>
    </row>
    <row r="65" spans="1:23" ht="14.4" x14ac:dyDescent="0.3">
      <c r="A65" s="10"/>
      <c r="B65" s="10"/>
      <c r="C65" s="10"/>
      <c r="D65" s="10"/>
      <c r="E65" s="10"/>
      <c r="R65" s="10" t="s">
        <v>171</v>
      </c>
      <c r="S65" s="10"/>
      <c r="T65" s="10"/>
      <c r="U65" s="10"/>
      <c r="V65" s="10"/>
      <c r="W65" s="10"/>
    </row>
    <row r="66" spans="1:23" ht="14.4" x14ac:dyDescent="0.3">
      <c r="A66" s="10"/>
      <c r="B66" s="10"/>
      <c r="C66" s="10"/>
      <c r="D66" s="10"/>
      <c r="E66" s="10"/>
      <c r="R66" s="10"/>
      <c r="S66" s="10"/>
      <c r="T66" s="10"/>
      <c r="U66" s="10"/>
      <c r="V66" s="10"/>
      <c r="W66" s="10"/>
    </row>
    <row r="67" spans="1:23" ht="14.4" x14ac:dyDescent="0.3">
      <c r="A67" s="10"/>
      <c r="B67" s="10"/>
      <c r="C67" s="10"/>
      <c r="D67" s="10"/>
      <c r="E67" s="10"/>
      <c r="R67" s="11"/>
      <c r="S67" s="11"/>
      <c r="T67" s="11"/>
      <c r="U67" s="11"/>
      <c r="V67" s="11"/>
      <c r="W67" s="11"/>
    </row>
    <row r="68" spans="1:23" ht="14.4" x14ac:dyDescent="0.3">
      <c r="A68" s="10"/>
      <c r="B68" s="10"/>
      <c r="C68" s="10"/>
      <c r="D68" s="10"/>
      <c r="E68" s="10"/>
      <c r="R68" s="11" t="s">
        <v>148</v>
      </c>
      <c r="S68" s="11" t="s">
        <v>175</v>
      </c>
      <c r="T68" s="11" t="s">
        <v>166</v>
      </c>
      <c r="U68" s="11" t="s">
        <v>167</v>
      </c>
      <c r="V68" s="11" t="s">
        <v>168</v>
      </c>
      <c r="W68" s="11"/>
    </row>
    <row r="69" spans="1:23" ht="14.4" x14ac:dyDescent="0.3">
      <c r="A69" s="10"/>
      <c r="B69" s="10"/>
      <c r="C69" s="10"/>
      <c r="D69" s="10"/>
      <c r="E69" s="10"/>
      <c r="R69" s="10" t="s">
        <v>18</v>
      </c>
      <c r="S69" s="12">
        <v>2.4389528524500083E-2</v>
      </c>
      <c r="T69" s="12">
        <v>1.9912165390439284E-2</v>
      </c>
      <c r="U69" s="12">
        <v>2.0815498936675978E-2</v>
      </c>
      <c r="V69" s="12">
        <v>2.2829451125169108E-2</v>
      </c>
      <c r="W69" s="10"/>
    </row>
    <row r="70" spans="1:23" ht="14.4" x14ac:dyDescent="0.3">
      <c r="A70" s="10"/>
      <c r="B70" s="10"/>
      <c r="C70" s="10"/>
      <c r="D70" s="10"/>
      <c r="E70" s="10"/>
      <c r="R70" s="10" t="s">
        <v>66</v>
      </c>
      <c r="S70" s="12">
        <v>5.3141888738414769E-4</v>
      </c>
      <c r="T70" s="12">
        <v>4.1865791734842488E-4</v>
      </c>
      <c r="U70" s="12">
        <v>4.447026412263685E-4</v>
      </c>
      <c r="V70" s="12">
        <v>4.9057544581793881E-4</v>
      </c>
      <c r="W70" s="10"/>
    </row>
    <row r="71" spans="1:23" ht="14.4" x14ac:dyDescent="0.3">
      <c r="A71" s="10"/>
      <c r="B71" s="10"/>
      <c r="C71" s="10"/>
      <c r="D71" s="10"/>
      <c r="E71" s="10"/>
      <c r="R71" s="10" t="s">
        <v>47</v>
      </c>
      <c r="S71" s="12">
        <v>2.0809305022808939E-2</v>
      </c>
      <c r="T71" s="12">
        <v>1.7423732129270317E-2</v>
      </c>
      <c r="U71" s="14">
        <v>1.8047611532278959E-2</v>
      </c>
      <c r="V71" s="12">
        <v>1.9686647668890743E-2</v>
      </c>
      <c r="W71" s="10"/>
    </row>
    <row r="72" spans="1:23" ht="14.4" x14ac:dyDescent="0.3">
      <c r="A72" s="10"/>
      <c r="B72" s="10"/>
      <c r="C72" s="10"/>
      <c r="D72" s="10"/>
      <c r="E72" s="10"/>
      <c r="R72" s="10" t="s">
        <v>45</v>
      </c>
      <c r="S72" s="12">
        <v>0.59446665476421323</v>
      </c>
      <c r="T72" s="12">
        <v>0.52324867790232366</v>
      </c>
      <c r="U72" s="12">
        <v>0.53213868534171405</v>
      </c>
      <c r="V72" s="12">
        <v>0.58219366352626889</v>
      </c>
      <c r="W72" s="10"/>
    </row>
    <row r="73" spans="1:23" ht="14.4" x14ac:dyDescent="0.3">
      <c r="A73" s="10"/>
      <c r="B73" s="10"/>
      <c r="C73" s="10"/>
      <c r="D73" s="10"/>
      <c r="E73" s="10"/>
      <c r="R73" s="10" t="s">
        <v>15</v>
      </c>
      <c r="S73" s="12">
        <v>8.374042289430058E-3</v>
      </c>
      <c r="T73" s="12">
        <v>7.8184956687242912E-3</v>
      </c>
      <c r="U73" s="12">
        <v>7.9369783702694773E-3</v>
      </c>
      <c r="V73" s="12">
        <v>8.2909971869884348E-3</v>
      </c>
      <c r="W73" s="10"/>
    </row>
    <row r="74" spans="1:23" ht="14.4" x14ac:dyDescent="0.3">
      <c r="A74" s="10"/>
      <c r="B74" s="10"/>
      <c r="C74" s="10"/>
      <c r="D74" s="10"/>
      <c r="E74" s="10"/>
      <c r="R74" s="10" t="s">
        <v>56</v>
      </c>
      <c r="S74" s="12">
        <v>0.45254643486167995</v>
      </c>
      <c r="T74" s="12">
        <v>0.45420428975080585</v>
      </c>
      <c r="U74" s="12">
        <v>0.44167212691727542</v>
      </c>
      <c r="V74" s="12">
        <v>0.47451420794649174</v>
      </c>
      <c r="W74" s="10"/>
    </row>
    <row r="75" spans="1:23" ht="14.4" x14ac:dyDescent="0.3">
      <c r="A75" s="10"/>
      <c r="B75" s="10"/>
      <c r="C75" s="10"/>
      <c r="D75" s="10"/>
      <c r="E75" s="10"/>
      <c r="R75" s="10" t="s">
        <v>26</v>
      </c>
      <c r="S75" s="12">
        <v>6.8868021762250407E-3</v>
      </c>
      <c r="T75" s="12">
        <v>5.9394868343370056E-3</v>
      </c>
      <c r="U75" s="14">
        <v>6.0936609348486966E-3</v>
      </c>
      <c r="V75" s="12">
        <v>6.6037906747346102E-3</v>
      </c>
      <c r="W75" s="10"/>
    </row>
    <row r="76" spans="1:23" ht="14.4" x14ac:dyDescent="0.3">
      <c r="A76" s="10"/>
      <c r="B76" s="10"/>
      <c r="C76" s="10"/>
      <c r="D76" s="10"/>
      <c r="E76" s="10"/>
      <c r="R76" s="10" t="s">
        <v>31</v>
      </c>
      <c r="S76" s="12">
        <v>1.9682826708405592E-2</v>
      </c>
      <c r="T76" s="12">
        <v>1.7103523819296224E-2</v>
      </c>
      <c r="U76" s="12">
        <v>1.7483889444609751E-2</v>
      </c>
      <c r="V76" s="12">
        <v>1.8923048601854273E-2</v>
      </c>
      <c r="W76" s="10"/>
    </row>
    <row r="77" spans="1:23" ht="14.4" x14ac:dyDescent="0.3">
      <c r="A77" s="10"/>
      <c r="B77" s="10"/>
      <c r="C77" s="10"/>
      <c r="D77" s="10"/>
      <c r="E77" s="10"/>
      <c r="R77" s="10" t="s">
        <v>64</v>
      </c>
      <c r="S77" s="12">
        <v>2.2583602863688358E-3</v>
      </c>
      <c r="T77" s="14">
        <v>2.0851964766852235E-3</v>
      </c>
      <c r="U77" s="12">
        <v>3.3402763122378915E-3</v>
      </c>
      <c r="V77" s="12">
        <v>3.4829501201204963E-3</v>
      </c>
      <c r="W77" s="10"/>
    </row>
    <row r="78" spans="1:23" ht="14.4" x14ac:dyDescent="0.3">
      <c r="A78" s="10"/>
      <c r="B78" s="10"/>
      <c r="C78" s="10"/>
      <c r="D78" s="10"/>
      <c r="E78" s="10"/>
      <c r="R78" s="10" t="s">
        <v>6</v>
      </c>
      <c r="S78" s="12">
        <v>0.99051007329590235</v>
      </c>
      <c r="T78" s="12">
        <v>0.93180613418307956</v>
      </c>
      <c r="U78" s="12">
        <v>0.9278909034140479</v>
      </c>
      <c r="V78" s="12">
        <v>1.0022830283397137</v>
      </c>
      <c r="W78" s="10"/>
    </row>
    <row r="79" spans="1:23" ht="14.4" x14ac:dyDescent="0.3">
      <c r="A79" s="10"/>
      <c r="B79" s="10"/>
      <c r="C79" s="10"/>
      <c r="D79" s="10"/>
      <c r="E79" s="10"/>
      <c r="R79" s="10" t="s">
        <v>14</v>
      </c>
      <c r="S79" s="14">
        <v>1.6360554533894451</v>
      </c>
      <c r="T79" s="12">
        <v>1.5345424525863651</v>
      </c>
      <c r="U79" s="12">
        <v>1.5298559989830438</v>
      </c>
      <c r="V79" s="12">
        <v>1.6536394983901019</v>
      </c>
      <c r="W79" s="10"/>
    </row>
    <row r="80" spans="1:23" ht="14.4" x14ac:dyDescent="0.3">
      <c r="A80" s="10"/>
      <c r="B80" s="10"/>
      <c r="C80" s="10"/>
      <c r="D80" s="10"/>
      <c r="E80" s="10"/>
      <c r="R80" s="10" t="s">
        <v>50</v>
      </c>
      <c r="S80" s="12">
        <v>5.9351201827895397E-2</v>
      </c>
      <c r="T80" s="12">
        <v>4.4898224172222063E-2</v>
      </c>
      <c r="U80" s="12">
        <v>4.8410053661135252E-2</v>
      </c>
      <c r="V80" s="12">
        <v>5.3972136340967751E-2</v>
      </c>
      <c r="W80" s="10"/>
    </row>
    <row r="81" spans="1:23" ht="14.4" x14ac:dyDescent="0.3">
      <c r="A81" s="10"/>
      <c r="B81" s="10"/>
      <c r="C81" s="10"/>
      <c r="D81" s="10"/>
      <c r="E81" s="10"/>
      <c r="R81" s="10" t="s">
        <v>7</v>
      </c>
      <c r="S81" s="14">
        <v>4.0611465050731837E-3</v>
      </c>
      <c r="T81" s="12">
        <v>3.1483720160885797E-3</v>
      </c>
      <c r="U81" s="12">
        <v>3.3679432016800455E-3</v>
      </c>
      <c r="V81" s="12">
        <v>3.7293436561950215E-3</v>
      </c>
      <c r="W81" s="10"/>
    </row>
    <row r="82" spans="1:23" ht="14.4" x14ac:dyDescent="0.3">
      <c r="A82" s="10"/>
      <c r="B82" s="10"/>
      <c r="C82" s="10"/>
      <c r="D82" s="10"/>
      <c r="E82" s="10"/>
      <c r="R82" s="10" t="s">
        <v>24</v>
      </c>
      <c r="S82" s="12">
        <v>1.6156761884348625E-3</v>
      </c>
      <c r="T82" s="12">
        <v>1.4993902029410535E-3</v>
      </c>
      <c r="U82" s="12">
        <v>1.4923996151396976E-3</v>
      </c>
      <c r="V82" s="12">
        <v>1.605867068769304E-3</v>
      </c>
      <c r="W82" s="10"/>
    </row>
    <row r="83" spans="1:23" ht="14.4" x14ac:dyDescent="0.3">
      <c r="A83" s="10"/>
      <c r="B83" s="10"/>
      <c r="C83" s="10"/>
      <c r="D83" s="10"/>
      <c r="E83" s="10"/>
      <c r="R83" s="10" t="s">
        <v>46</v>
      </c>
      <c r="S83" s="12">
        <v>1.5663328963939141E-3</v>
      </c>
      <c r="T83" s="12">
        <v>1.3093291181407887E-3</v>
      </c>
      <c r="U83" s="12">
        <v>1.3628361837641268E-3</v>
      </c>
      <c r="V83" s="12">
        <v>1.4857534651967614E-3</v>
      </c>
      <c r="W83" s="10"/>
    </row>
    <row r="84" spans="1:23" ht="14.4" x14ac:dyDescent="0.3">
      <c r="A84" s="10"/>
      <c r="B84" s="10"/>
      <c r="C84" s="10"/>
      <c r="D84" s="10"/>
      <c r="E84" s="10"/>
      <c r="R84" s="10" t="s">
        <v>44</v>
      </c>
      <c r="S84" s="15">
        <v>0</v>
      </c>
      <c r="T84" s="15">
        <v>0</v>
      </c>
      <c r="U84" s="15">
        <v>0</v>
      </c>
      <c r="V84" s="15">
        <v>0</v>
      </c>
      <c r="W84" s="10"/>
    </row>
    <row r="85" spans="1:23" ht="14.4" x14ac:dyDescent="0.3">
      <c r="A85" s="10"/>
      <c r="B85" s="10"/>
      <c r="C85" s="10"/>
      <c r="D85" s="10"/>
      <c r="E85" s="10"/>
      <c r="R85" s="10" t="s">
        <v>32</v>
      </c>
      <c r="S85" s="12">
        <v>3.3387050835944211E-2</v>
      </c>
      <c r="T85" s="12">
        <v>3.8919481125691845E-2</v>
      </c>
      <c r="U85" s="12">
        <v>3.6760776041834829E-2</v>
      </c>
      <c r="V85" s="14">
        <v>3.7032850491869995E-2</v>
      </c>
      <c r="W85" s="10"/>
    </row>
    <row r="86" spans="1:23" ht="14.4" x14ac:dyDescent="0.3">
      <c r="A86" s="10"/>
      <c r="B86" s="10"/>
      <c r="C86" s="10"/>
      <c r="D86" s="10"/>
      <c r="E86" s="10"/>
      <c r="R86" s="10" t="s">
        <v>53</v>
      </c>
      <c r="S86" s="12">
        <v>3.4545859556702987E-2</v>
      </c>
      <c r="T86" s="12">
        <v>2.7885561910623646E-2</v>
      </c>
      <c r="U86" s="12">
        <v>2.9297067123196917E-2</v>
      </c>
      <c r="V86" s="12">
        <v>3.220937771980479E-2</v>
      </c>
      <c r="W86" s="10"/>
    </row>
    <row r="87" spans="1:23" ht="14.4" x14ac:dyDescent="0.3">
      <c r="A87" s="10"/>
      <c r="B87" s="10"/>
      <c r="C87" s="10"/>
      <c r="D87" s="10"/>
      <c r="E87" s="10"/>
    </row>
    <row r="88" spans="1:23" ht="14.4" x14ac:dyDescent="0.3">
      <c r="A88" s="10"/>
      <c r="B88" s="10"/>
      <c r="C88" s="10"/>
      <c r="D88" s="10"/>
      <c r="E88" s="10"/>
    </row>
    <row r="89" spans="1:23" ht="14.4" x14ac:dyDescent="0.3">
      <c r="A89" s="10"/>
      <c r="B89" s="10"/>
      <c r="C89" s="10"/>
      <c r="D89" s="10"/>
      <c r="E89" s="10"/>
    </row>
    <row r="90" spans="1:23" ht="14.4" x14ac:dyDescent="0.3">
      <c r="A90" s="10"/>
      <c r="B90" s="10"/>
      <c r="C90" s="10"/>
      <c r="D90" s="10"/>
      <c r="E90" s="10"/>
    </row>
    <row r="91" spans="1:23" ht="14.4" x14ac:dyDescent="0.3">
      <c r="A91" s="10"/>
      <c r="B91" s="10"/>
      <c r="C91" s="10"/>
      <c r="D91" s="10"/>
      <c r="E91" s="10"/>
    </row>
    <row r="92" spans="1:23" ht="14.4" x14ac:dyDescent="0.3">
      <c r="A92" s="10"/>
      <c r="B92" s="10"/>
      <c r="C92" s="10"/>
      <c r="D92" s="10"/>
      <c r="E92" s="10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Y37" sqref="Y37"/>
    </sheetView>
  </sheetViews>
  <sheetFormatPr defaultColWidth="20.77734375" defaultRowHeight="14.4" x14ac:dyDescent="0.3"/>
  <cols>
    <col min="1" max="1" width="40.77734375" style="10" customWidth="1"/>
    <col min="2" max="16384" width="20.77734375" style="10"/>
  </cols>
  <sheetData>
    <row r="1" spans="1:5" x14ac:dyDescent="0.3">
      <c r="A1" s="10" t="s">
        <v>135</v>
      </c>
    </row>
    <row r="2" spans="1:5" x14ac:dyDescent="0.3">
      <c r="A2" s="10" t="s">
        <v>176</v>
      </c>
    </row>
    <row r="3" spans="1:5" x14ac:dyDescent="0.3">
      <c r="A3" s="10" t="s">
        <v>157</v>
      </c>
    </row>
    <row r="4" spans="1:5" x14ac:dyDescent="0.3">
      <c r="A4" s="10" t="s">
        <v>174</v>
      </c>
    </row>
    <row r="5" spans="1:5" x14ac:dyDescent="0.3">
      <c r="A5" s="10" t="s">
        <v>171</v>
      </c>
    </row>
    <row r="7" spans="1:5" s="11" customFormat="1" x14ac:dyDescent="0.3"/>
    <row r="8" spans="1:5" s="11" customFormat="1" x14ac:dyDescent="0.3">
      <c r="A8" s="11" t="s">
        <v>148</v>
      </c>
      <c r="B8" s="11" t="s">
        <v>162</v>
      </c>
      <c r="C8" s="11" t="s">
        <v>163</v>
      </c>
      <c r="D8" s="11" t="s">
        <v>164</v>
      </c>
      <c r="E8" s="11" t="s">
        <v>165</v>
      </c>
    </row>
    <row r="9" spans="1:5" x14ac:dyDescent="0.3">
      <c r="A9" s="10" t="s">
        <v>18</v>
      </c>
      <c r="B9" s="12">
        <v>2.4389528524500083E-2</v>
      </c>
      <c r="C9" s="12">
        <v>1.9912165390439284E-2</v>
      </c>
      <c r="D9" s="12">
        <v>2.0815498936675978E-2</v>
      </c>
      <c r="E9" s="12">
        <v>2.2829451125169108E-2</v>
      </c>
    </row>
    <row r="10" spans="1:5" x14ac:dyDescent="0.3">
      <c r="A10" s="10" t="s">
        <v>66</v>
      </c>
      <c r="B10" s="12">
        <v>5.3141888738414769E-4</v>
      </c>
      <c r="C10" s="12">
        <v>4.1865791734842488E-4</v>
      </c>
      <c r="D10" s="12">
        <v>4.447026412263685E-4</v>
      </c>
      <c r="E10" s="12">
        <v>4.9057544581793881E-4</v>
      </c>
    </row>
    <row r="11" spans="1:5" x14ac:dyDescent="0.3">
      <c r="A11" s="10" t="s">
        <v>47</v>
      </c>
      <c r="B11" s="12">
        <v>2.0809305022808939E-2</v>
      </c>
      <c r="C11" s="12">
        <v>1.7423732129270317E-2</v>
      </c>
      <c r="D11" s="14">
        <v>1.8047611532278959E-2</v>
      </c>
      <c r="E11" s="12">
        <v>1.9686647668890743E-2</v>
      </c>
    </row>
    <row r="12" spans="1:5" x14ac:dyDescent="0.3">
      <c r="A12" s="10" t="s">
        <v>45</v>
      </c>
      <c r="B12" s="12">
        <v>0.59446665476421323</v>
      </c>
      <c r="C12" s="12">
        <v>0.52324867790232366</v>
      </c>
      <c r="D12" s="12">
        <v>0.53213868534171405</v>
      </c>
      <c r="E12" s="12">
        <v>0.58219366352626889</v>
      </c>
    </row>
    <row r="13" spans="1:5" x14ac:dyDescent="0.3">
      <c r="A13" s="10" t="s">
        <v>15</v>
      </c>
      <c r="B13" s="12">
        <v>8.374042289430058E-3</v>
      </c>
      <c r="C13" s="12">
        <v>7.8184956687242912E-3</v>
      </c>
      <c r="D13" s="12">
        <v>7.9369783702694773E-3</v>
      </c>
      <c r="E13" s="12">
        <v>8.2909971869884348E-3</v>
      </c>
    </row>
    <row r="14" spans="1:5" x14ac:dyDescent="0.3">
      <c r="A14" s="10" t="s">
        <v>56</v>
      </c>
      <c r="B14" s="12">
        <v>0.45254643486167995</v>
      </c>
      <c r="C14" s="12">
        <v>0.45420428975080585</v>
      </c>
      <c r="D14" s="12">
        <v>0.44167212691727542</v>
      </c>
      <c r="E14" s="12">
        <v>0.47451420794649174</v>
      </c>
    </row>
    <row r="15" spans="1:5" x14ac:dyDescent="0.3">
      <c r="A15" s="10" t="s">
        <v>26</v>
      </c>
      <c r="B15" s="12">
        <v>6.8868021762250407E-3</v>
      </c>
      <c r="C15" s="12">
        <v>5.9394868343370056E-3</v>
      </c>
      <c r="D15" s="14">
        <v>6.0936609348486966E-3</v>
      </c>
      <c r="E15" s="12">
        <v>6.6037906747346102E-3</v>
      </c>
    </row>
    <row r="16" spans="1:5" x14ac:dyDescent="0.3">
      <c r="A16" s="10" t="s">
        <v>31</v>
      </c>
      <c r="B16" s="12">
        <v>1.9682826708405592E-2</v>
      </c>
      <c r="C16" s="12">
        <v>1.7103523819296224E-2</v>
      </c>
      <c r="D16" s="12">
        <v>1.7483889444609751E-2</v>
      </c>
      <c r="E16" s="12">
        <v>1.8923048601854273E-2</v>
      </c>
    </row>
    <row r="17" spans="1:5" x14ac:dyDescent="0.3">
      <c r="A17" s="10" t="s">
        <v>64</v>
      </c>
      <c r="B17" s="12">
        <v>2.2583602863688358E-3</v>
      </c>
      <c r="C17" s="14">
        <v>2.0851964766852235E-3</v>
      </c>
      <c r="D17" s="12">
        <v>3.3402763122378915E-3</v>
      </c>
      <c r="E17" s="12">
        <v>3.4829501201204963E-3</v>
      </c>
    </row>
    <row r="18" spans="1:5" x14ac:dyDescent="0.3">
      <c r="A18" s="10" t="s">
        <v>6</v>
      </c>
      <c r="B18" s="12">
        <v>0.99051007329590235</v>
      </c>
      <c r="C18" s="12">
        <v>0.93180613418307956</v>
      </c>
      <c r="D18" s="12">
        <v>0.9278909034140479</v>
      </c>
      <c r="E18" s="12">
        <v>1.0022830283397137</v>
      </c>
    </row>
    <row r="19" spans="1:5" x14ac:dyDescent="0.3">
      <c r="A19" s="10" t="s">
        <v>14</v>
      </c>
      <c r="B19" s="14">
        <v>1.6360554533894451</v>
      </c>
      <c r="C19" s="12">
        <v>1.5345424525863651</v>
      </c>
      <c r="D19" s="12">
        <v>1.5298559989830438</v>
      </c>
      <c r="E19" s="12">
        <v>1.6536394983901019</v>
      </c>
    </row>
    <row r="20" spans="1:5" x14ac:dyDescent="0.3">
      <c r="A20" s="10" t="s">
        <v>50</v>
      </c>
      <c r="B20" s="12">
        <v>5.9351201827895397E-2</v>
      </c>
      <c r="C20" s="12">
        <v>4.4898224172222063E-2</v>
      </c>
      <c r="D20" s="12">
        <v>4.8410053661135252E-2</v>
      </c>
      <c r="E20" s="12">
        <v>5.3972136340967751E-2</v>
      </c>
    </row>
    <row r="21" spans="1:5" x14ac:dyDescent="0.3">
      <c r="A21" s="10" t="s">
        <v>7</v>
      </c>
      <c r="B21" s="14">
        <v>4.0611465050731837E-3</v>
      </c>
      <c r="C21" s="12">
        <v>3.1483720160885797E-3</v>
      </c>
      <c r="D21" s="12">
        <v>3.3679432016800455E-3</v>
      </c>
      <c r="E21" s="12">
        <v>3.7293436561950215E-3</v>
      </c>
    </row>
    <row r="22" spans="1:5" x14ac:dyDescent="0.3">
      <c r="A22" s="10" t="s">
        <v>24</v>
      </c>
      <c r="B22" s="12">
        <v>1.6156761884348625E-3</v>
      </c>
      <c r="C22" s="12">
        <v>1.4993902029410535E-3</v>
      </c>
      <c r="D22" s="12">
        <v>1.4923996151396976E-3</v>
      </c>
      <c r="E22" s="12">
        <v>1.605867068769304E-3</v>
      </c>
    </row>
    <row r="23" spans="1:5" x14ac:dyDescent="0.3">
      <c r="A23" s="10" t="s">
        <v>46</v>
      </c>
      <c r="B23" s="12">
        <v>1.5663328963939141E-3</v>
      </c>
      <c r="C23" s="12">
        <v>1.3093291181407887E-3</v>
      </c>
      <c r="D23" s="12">
        <v>1.3628361837641268E-3</v>
      </c>
      <c r="E23" s="12">
        <v>1.4857534651967614E-3</v>
      </c>
    </row>
    <row r="24" spans="1:5" x14ac:dyDescent="0.3">
      <c r="A24" s="10" t="s">
        <v>44</v>
      </c>
      <c r="B24" s="15">
        <v>0</v>
      </c>
      <c r="C24" s="15">
        <v>0</v>
      </c>
      <c r="D24" s="15">
        <v>0</v>
      </c>
      <c r="E24" s="15">
        <v>0</v>
      </c>
    </row>
    <row r="25" spans="1:5" x14ac:dyDescent="0.3">
      <c r="A25" s="10" t="s">
        <v>32</v>
      </c>
      <c r="B25" s="12">
        <v>3.3387050835944211E-2</v>
      </c>
      <c r="C25" s="12">
        <v>3.8919481125691845E-2</v>
      </c>
      <c r="D25" s="12">
        <v>3.6760776041834829E-2</v>
      </c>
      <c r="E25" s="14">
        <v>3.7032850491869995E-2</v>
      </c>
    </row>
    <row r="26" spans="1:5" x14ac:dyDescent="0.3">
      <c r="A26" s="10" t="s">
        <v>53</v>
      </c>
      <c r="B26" s="12">
        <v>3.4545859556702987E-2</v>
      </c>
      <c r="C26" s="12">
        <v>2.7885561910623646E-2</v>
      </c>
      <c r="D26" s="12">
        <v>2.9297067123196917E-2</v>
      </c>
      <c r="E26" s="12">
        <v>3.220937771980479E-2</v>
      </c>
    </row>
    <row r="29" spans="1:5" x14ac:dyDescent="0.3">
      <c r="A29" s="11" t="s">
        <v>148</v>
      </c>
      <c r="B29" s="11" t="s">
        <v>162</v>
      </c>
      <c r="C29" s="11" t="s">
        <v>163</v>
      </c>
      <c r="D29" s="11" t="s">
        <v>164</v>
      </c>
      <c r="E29" s="11" t="s">
        <v>165</v>
      </c>
    </row>
    <row r="30" spans="1:5" x14ac:dyDescent="0.3">
      <c r="A30" s="10" t="s">
        <v>18</v>
      </c>
      <c r="B30" s="12">
        <v>2.4389528524500083E-2</v>
      </c>
      <c r="C30" s="12">
        <v>1.9912165390439284E-2</v>
      </c>
      <c r="D30" s="12">
        <v>2.0815498936675978E-2</v>
      </c>
      <c r="E30" s="12">
        <v>2.2829451125169108E-2</v>
      </c>
    </row>
    <row r="31" spans="1:5" x14ac:dyDescent="0.3">
      <c r="A31" s="10" t="s">
        <v>56</v>
      </c>
      <c r="B31" s="12">
        <v>0.45254643486167995</v>
      </c>
      <c r="C31" s="12">
        <v>0.45420428975080585</v>
      </c>
      <c r="D31" s="12">
        <v>0.44167212691727542</v>
      </c>
      <c r="E31" s="12">
        <v>0.47451420794649174</v>
      </c>
    </row>
    <row r="32" spans="1:5" x14ac:dyDescent="0.3">
      <c r="A32" s="10" t="s">
        <v>26</v>
      </c>
      <c r="B32" s="12">
        <v>6.8868021762250407E-3</v>
      </c>
      <c r="C32" s="12">
        <v>5.9394868343370056E-3</v>
      </c>
      <c r="D32" s="14">
        <v>6.0936609348486966E-3</v>
      </c>
      <c r="E32" s="12">
        <v>6.6037906747346102E-3</v>
      </c>
    </row>
    <row r="33" spans="1:5" x14ac:dyDescent="0.3">
      <c r="A33" s="10" t="s">
        <v>31</v>
      </c>
      <c r="B33" s="12">
        <v>1.9682826708405592E-2</v>
      </c>
      <c r="C33" s="12">
        <v>1.7103523819296224E-2</v>
      </c>
      <c r="D33" s="12">
        <v>1.7483889444609751E-2</v>
      </c>
      <c r="E33" s="12">
        <v>1.8923048601854273E-2</v>
      </c>
    </row>
    <row r="34" spans="1:5" x14ac:dyDescent="0.3">
      <c r="A34" s="10" t="s">
        <v>64</v>
      </c>
      <c r="B34" s="12">
        <v>2.2583602863688358E-3</v>
      </c>
      <c r="C34" s="14">
        <v>2.0851964766852235E-3</v>
      </c>
      <c r="D34" s="12">
        <v>3.3402763122378915E-3</v>
      </c>
      <c r="E34" s="12">
        <v>3.4829501201204963E-3</v>
      </c>
    </row>
    <row r="35" spans="1:5" x14ac:dyDescent="0.3">
      <c r="A35" s="10" t="s">
        <v>6</v>
      </c>
      <c r="B35" s="12">
        <v>0.99051007329590235</v>
      </c>
      <c r="C35" s="12">
        <v>0.93180613418307956</v>
      </c>
      <c r="D35" s="12">
        <v>0.9278909034140479</v>
      </c>
      <c r="E35" s="12">
        <v>1.0022830283397137</v>
      </c>
    </row>
    <row r="36" spans="1:5" x14ac:dyDescent="0.3">
      <c r="A36" s="10" t="s">
        <v>14</v>
      </c>
      <c r="B36" s="14">
        <v>1.6360554533894451</v>
      </c>
      <c r="C36" s="12">
        <v>1.5345424525863651</v>
      </c>
      <c r="D36" s="12">
        <v>1.5298559989830438</v>
      </c>
      <c r="E36" s="12">
        <v>1.6536394983901019</v>
      </c>
    </row>
    <row r="37" spans="1:5" x14ac:dyDescent="0.3">
      <c r="A37" s="10" t="s">
        <v>50</v>
      </c>
      <c r="B37" s="12">
        <v>5.9351201827895397E-2</v>
      </c>
      <c r="C37" s="12">
        <v>4.4898224172222063E-2</v>
      </c>
      <c r="D37" s="12">
        <v>4.8410053661135252E-2</v>
      </c>
      <c r="E37" s="12">
        <v>5.3972136340967751E-2</v>
      </c>
    </row>
    <row r="38" spans="1:5" x14ac:dyDescent="0.3">
      <c r="A38" s="10" t="s">
        <v>7</v>
      </c>
      <c r="B38" s="14">
        <v>4.0611465050731837E-3</v>
      </c>
      <c r="C38" s="12">
        <v>3.1483720160885797E-3</v>
      </c>
      <c r="D38" s="12">
        <v>3.3679432016800455E-3</v>
      </c>
      <c r="E38" s="12">
        <v>3.7293436561950215E-3</v>
      </c>
    </row>
    <row r="39" spans="1:5" x14ac:dyDescent="0.3">
      <c r="A39" s="10" t="s">
        <v>24</v>
      </c>
      <c r="B39" s="12">
        <v>1.6156761884348625E-3</v>
      </c>
      <c r="C39" s="12">
        <v>1.4993902029410535E-3</v>
      </c>
      <c r="D39" s="12">
        <v>1.4923996151396976E-3</v>
      </c>
      <c r="E39" s="12">
        <v>1.605867068769304E-3</v>
      </c>
    </row>
    <row r="40" spans="1:5" x14ac:dyDescent="0.3">
      <c r="A40" s="10" t="s">
        <v>46</v>
      </c>
      <c r="B40" s="12">
        <v>1.5663328963939141E-3</v>
      </c>
      <c r="C40" s="12">
        <v>1.3093291181407887E-3</v>
      </c>
      <c r="D40" s="12">
        <v>1.3628361837641268E-3</v>
      </c>
      <c r="E40" s="12">
        <v>1.4857534651967614E-3</v>
      </c>
    </row>
    <row r="41" spans="1:5" x14ac:dyDescent="0.3">
      <c r="A41" s="10" t="s">
        <v>44</v>
      </c>
      <c r="B41" s="15">
        <v>0</v>
      </c>
      <c r="C41" s="15">
        <v>0</v>
      </c>
      <c r="D41" s="15">
        <v>0</v>
      </c>
      <c r="E41" s="15">
        <v>0</v>
      </c>
    </row>
    <row r="42" spans="1:5" x14ac:dyDescent="0.3">
      <c r="A42" s="10" t="s">
        <v>32</v>
      </c>
      <c r="B42" s="12">
        <v>3.3387050835944211E-2</v>
      </c>
      <c r="C42" s="12">
        <v>3.8919481125691845E-2</v>
      </c>
      <c r="D42" s="12">
        <v>3.6760776041834829E-2</v>
      </c>
      <c r="E42" s="14">
        <v>3.7032850491869995E-2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opLeftCell="F16" zoomScaleNormal="100" workbookViewId="0">
      <selection activeCell="Y37" sqref="Y37"/>
    </sheetView>
  </sheetViews>
  <sheetFormatPr defaultRowHeight="13.2" x14ac:dyDescent="0.25"/>
  <cols>
    <col min="1" max="10" width="8.88671875" style="8"/>
    <col min="11" max="11" width="13.88671875" style="8" customWidth="1"/>
    <col min="12" max="12" width="11.44140625" style="8" customWidth="1"/>
    <col min="13" max="13" width="12" style="8" customWidth="1"/>
    <col min="14" max="14" width="16.6640625" style="8" bestFit="1" customWidth="1"/>
    <col min="15" max="16384" width="8.88671875" style="8"/>
  </cols>
  <sheetData>
    <row r="1" spans="1:17" ht="14.4" x14ac:dyDescent="0.3">
      <c r="J1" s="10" t="s">
        <v>135</v>
      </c>
      <c r="K1" s="10"/>
      <c r="L1" s="10"/>
      <c r="M1" s="10"/>
      <c r="N1" s="10"/>
      <c r="O1" s="10"/>
      <c r="P1" s="10"/>
      <c r="Q1" s="10"/>
    </row>
    <row r="2" spans="1:17" ht="14.4" x14ac:dyDescent="0.3">
      <c r="A2" s="8" t="s">
        <v>69</v>
      </c>
      <c r="B2" s="8" t="s">
        <v>134</v>
      </c>
      <c r="J2" s="10" t="s">
        <v>177</v>
      </c>
      <c r="K2" s="10"/>
      <c r="L2" s="10"/>
      <c r="M2" s="10"/>
      <c r="N2" s="10"/>
      <c r="O2" s="10"/>
      <c r="P2" s="10"/>
      <c r="Q2" s="10"/>
    </row>
    <row r="3" spans="1:17" ht="14.4" x14ac:dyDescent="0.3">
      <c r="A3" s="8" t="s">
        <v>39</v>
      </c>
      <c r="B3" s="8" t="s">
        <v>40</v>
      </c>
      <c r="J3" s="10" t="s">
        <v>178</v>
      </c>
      <c r="K3" s="10"/>
      <c r="L3" s="10"/>
      <c r="M3" s="10"/>
      <c r="N3" s="10"/>
      <c r="O3" s="10"/>
      <c r="P3" s="10"/>
      <c r="Q3" s="10"/>
    </row>
    <row r="4" spans="1:17" ht="14.4" x14ac:dyDescent="0.3">
      <c r="A4" s="8" t="s">
        <v>137</v>
      </c>
      <c r="B4" s="8" t="s">
        <v>179</v>
      </c>
      <c r="J4" s="16" t="s">
        <v>141</v>
      </c>
      <c r="K4" s="16"/>
      <c r="L4" s="16"/>
      <c r="M4" s="16"/>
      <c r="N4" s="16"/>
      <c r="O4" s="16"/>
      <c r="P4" s="10"/>
      <c r="Q4" s="10"/>
    </row>
    <row r="5" spans="1:17" ht="14.4" x14ac:dyDescent="0.3">
      <c r="A5" s="8" t="s">
        <v>140</v>
      </c>
      <c r="B5" s="8" t="s">
        <v>180</v>
      </c>
      <c r="J5" s="10" t="s">
        <v>144</v>
      </c>
      <c r="K5" s="10"/>
      <c r="L5" s="10"/>
      <c r="M5" s="10"/>
      <c r="N5" s="10"/>
      <c r="O5" s="10"/>
      <c r="P5" s="10"/>
      <c r="Q5" s="10"/>
    </row>
    <row r="6" spans="1:17" ht="14.4" x14ac:dyDescent="0.3">
      <c r="A6" s="8" t="s">
        <v>142</v>
      </c>
      <c r="B6" s="8" t="s">
        <v>181</v>
      </c>
      <c r="J6" s="10"/>
      <c r="K6" s="10"/>
      <c r="L6" s="10"/>
      <c r="M6" s="10"/>
      <c r="N6" s="10"/>
      <c r="O6" s="10"/>
      <c r="P6" s="10"/>
      <c r="Q6" s="10"/>
    </row>
    <row r="7" spans="1:17" ht="14.4" x14ac:dyDescent="0.3">
      <c r="A7" s="8" t="s">
        <v>160</v>
      </c>
      <c r="B7" s="8" t="s">
        <v>182</v>
      </c>
      <c r="J7" s="11"/>
      <c r="K7" s="11"/>
      <c r="L7" s="11"/>
      <c r="M7" s="11"/>
      <c r="N7" s="11"/>
      <c r="O7" s="11"/>
      <c r="P7" s="11"/>
      <c r="Q7" s="11"/>
    </row>
    <row r="8" spans="1:17" ht="14.4" x14ac:dyDescent="0.3">
      <c r="A8" s="8" t="s">
        <v>49</v>
      </c>
      <c r="B8" s="8" t="s">
        <v>58</v>
      </c>
      <c r="J8" s="11" t="s">
        <v>148</v>
      </c>
      <c r="K8" s="11" t="s">
        <v>183</v>
      </c>
      <c r="L8" s="11" t="s">
        <v>184</v>
      </c>
      <c r="M8" s="11" t="s">
        <v>185</v>
      </c>
      <c r="N8" s="11" t="s">
        <v>186</v>
      </c>
      <c r="O8" s="11"/>
      <c r="P8" s="11"/>
      <c r="Q8" s="11"/>
    </row>
    <row r="9" spans="1:17" ht="14.4" x14ac:dyDescent="0.3">
      <c r="J9" s="10" t="s">
        <v>18</v>
      </c>
      <c r="K9" s="12">
        <v>79.617914566708151</v>
      </c>
      <c r="L9" s="13">
        <v>100</v>
      </c>
      <c r="M9" s="12">
        <v>91.447103315027661</v>
      </c>
      <c r="N9" s="12">
        <v>91.438456453405919</v>
      </c>
      <c r="O9" s="10"/>
      <c r="P9" s="10"/>
      <c r="Q9" s="10"/>
    </row>
    <row r="10" spans="1:17" ht="14.4" x14ac:dyDescent="0.3">
      <c r="A10" s="8" t="s">
        <v>22</v>
      </c>
      <c r="B10" s="8" t="s">
        <v>43</v>
      </c>
      <c r="C10" s="8" t="s">
        <v>183</v>
      </c>
      <c r="D10" s="8" t="s">
        <v>184</v>
      </c>
      <c r="E10" s="8" t="s">
        <v>185</v>
      </c>
      <c r="F10" s="8" t="s">
        <v>186</v>
      </c>
      <c r="J10" s="10" t="s">
        <v>66</v>
      </c>
      <c r="K10" s="12">
        <v>96.844847376132691</v>
      </c>
      <c r="L10" s="12">
        <v>98.397948321687295</v>
      </c>
      <c r="M10" s="12">
        <v>96.642564007001255</v>
      </c>
      <c r="N10" s="13">
        <v>100</v>
      </c>
      <c r="O10" s="10"/>
      <c r="P10" s="10"/>
      <c r="Q10" s="10"/>
    </row>
    <row r="11" spans="1:17" ht="14.4" x14ac:dyDescent="0.3">
      <c r="A11" s="8" t="s">
        <v>18</v>
      </c>
      <c r="B11" s="8" t="s">
        <v>59</v>
      </c>
      <c r="C11" s="8">
        <v>23.496600554009401</v>
      </c>
      <c r="D11" s="8">
        <v>29.5117005787971</v>
      </c>
      <c r="E11" s="8">
        <v>26.987595318314199</v>
      </c>
      <c r="F11" s="8">
        <v>26.985043482402901</v>
      </c>
      <c r="J11" s="10" t="s">
        <v>47</v>
      </c>
      <c r="K11" s="12">
        <v>78.314878751850813</v>
      </c>
      <c r="L11" s="13">
        <v>100</v>
      </c>
      <c r="M11" s="12">
        <v>91.314487337066097</v>
      </c>
      <c r="N11" s="12">
        <v>91.051408522510158</v>
      </c>
      <c r="O11" s="10"/>
      <c r="P11" s="10"/>
      <c r="Q11" s="10"/>
    </row>
    <row r="12" spans="1:17" ht="14.4" x14ac:dyDescent="0.3">
      <c r="A12" s="8" t="s">
        <v>66</v>
      </c>
      <c r="B12" s="8" t="s">
        <v>0</v>
      </c>
      <c r="C12" s="8">
        <v>3.1527092110403098E-6</v>
      </c>
      <c r="D12" s="8">
        <v>3.2032692128306801E-6</v>
      </c>
      <c r="E12" s="8">
        <v>3.14612403218589E-6</v>
      </c>
      <c r="F12" s="8">
        <v>3.2554227679203198E-6</v>
      </c>
      <c r="J12" s="10" t="s">
        <v>45</v>
      </c>
      <c r="K12" s="12">
        <v>73.884749666522083</v>
      </c>
      <c r="L12" s="13">
        <v>100</v>
      </c>
      <c r="M12" s="12">
        <v>88.91410406080162</v>
      </c>
      <c r="N12" s="12">
        <v>92.082763515069914</v>
      </c>
      <c r="O12" s="10"/>
      <c r="P12" s="10"/>
      <c r="Q12" s="10"/>
    </row>
    <row r="13" spans="1:17" ht="14.4" x14ac:dyDescent="0.3">
      <c r="A13" s="8" t="s">
        <v>47</v>
      </c>
      <c r="B13" s="8" t="s">
        <v>28</v>
      </c>
      <c r="C13" s="8">
        <v>0.137774885480203</v>
      </c>
      <c r="D13" s="8">
        <v>0.175924278599418</v>
      </c>
      <c r="E13" s="8">
        <v>0.16064435310449099</v>
      </c>
      <c r="F13" s="8">
        <v>0.16018153359783499</v>
      </c>
      <c r="J13" s="10" t="s">
        <v>15</v>
      </c>
      <c r="K13" s="12">
        <v>72.52532408783496</v>
      </c>
      <c r="L13" s="13">
        <v>100</v>
      </c>
      <c r="M13" s="12">
        <v>92.689205923519722</v>
      </c>
      <c r="N13" s="12">
        <v>86.558851387438068</v>
      </c>
      <c r="O13" s="10"/>
      <c r="P13" s="10"/>
      <c r="Q13" s="10"/>
    </row>
    <row r="14" spans="1:17" ht="14.4" x14ac:dyDescent="0.3">
      <c r="A14" s="8" t="s">
        <v>45</v>
      </c>
      <c r="B14" s="8" t="s">
        <v>34</v>
      </c>
      <c r="C14" s="8">
        <v>3.8276385170497397E-2</v>
      </c>
      <c r="D14" s="8">
        <v>5.1805528668984302E-2</v>
      </c>
      <c r="E14" s="8">
        <v>4.6062421669989202E-2</v>
      </c>
      <c r="F14" s="8">
        <v>4.7703962451992599E-2</v>
      </c>
      <c r="J14" s="10" t="s">
        <v>56</v>
      </c>
      <c r="K14" s="12">
        <v>75.170812495111733</v>
      </c>
      <c r="L14" s="13">
        <v>100</v>
      </c>
      <c r="M14" s="12">
        <v>89.422656155887395</v>
      </c>
      <c r="N14" s="12">
        <v>92.653581428851211</v>
      </c>
      <c r="O14" s="10"/>
      <c r="P14" s="10"/>
      <c r="Q14" s="10"/>
    </row>
    <row r="15" spans="1:17" ht="14.4" x14ac:dyDescent="0.3">
      <c r="A15" s="8" t="s">
        <v>15</v>
      </c>
      <c r="B15" s="8" t="s">
        <v>65</v>
      </c>
      <c r="C15" s="8">
        <v>1.8324171601009701E-2</v>
      </c>
      <c r="D15" s="8">
        <v>2.5265894129362899E-2</v>
      </c>
      <c r="E15" s="8">
        <v>2.3418756637983699E-2</v>
      </c>
      <c r="F15" s="8">
        <v>2.1869867751142701E-2</v>
      </c>
      <c r="J15" s="10" t="s">
        <v>26</v>
      </c>
      <c r="K15" s="12">
        <v>76.809556299105211</v>
      </c>
      <c r="L15" s="13">
        <v>100</v>
      </c>
      <c r="M15" s="12">
        <v>91.360550441171327</v>
      </c>
      <c r="N15" s="12">
        <v>90.745462155814906</v>
      </c>
      <c r="O15" s="10"/>
      <c r="P15" s="10"/>
      <c r="Q15" s="10"/>
    </row>
    <row r="16" spans="1:17" ht="14.4" x14ac:dyDescent="0.3">
      <c r="A16" s="8" t="s">
        <v>56</v>
      </c>
      <c r="B16" s="8" t="s">
        <v>21</v>
      </c>
      <c r="C16" s="8">
        <v>65.137988741110405</v>
      </c>
      <c r="D16" s="8">
        <v>86.653298772507299</v>
      </c>
      <c r="E16" s="8">
        <v>77.487681409073005</v>
      </c>
      <c r="F16" s="8">
        <v>80.2873847389708</v>
      </c>
      <c r="J16" s="10" t="s">
        <v>31</v>
      </c>
      <c r="K16" s="12">
        <v>79.083576820436889</v>
      </c>
      <c r="L16" s="13">
        <v>100</v>
      </c>
      <c r="M16" s="14">
        <v>91.581097569508131</v>
      </c>
      <c r="N16" s="14">
        <v>91.587016098405073</v>
      </c>
      <c r="O16" s="10"/>
      <c r="P16" s="10"/>
      <c r="Q16" s="10"/>
    </row>
    <row r="17" spans="1:17" ht="14.4" x14ac:dyDescent="0.3">
      <c r="A17" s="8" t="s">
        <v>26</v>
      </c>
      <c r="B17" s="8" t="s">
        <v>3</v>
      </c>
      <c r="C17" s="8">
        <v>8.2491115816363605E-2</v>
      </c>
      <c r="D17" s="8">
        <v>0.107396943545844</v>
      </c>
      <c r="E17" s="8">
        <v>9.8118438780477504E-2</v>
      </c>
      <c r="F17" s="8">
        <v>9.7457852761896197E-2</v>
      </c>
      <c r="J17" s="10" t="s">
        <v>64</v>
      </c>
      <c r="K17" s="12">
        <v>84.626765021057807</v>
      </c>
      <c r="L17" s="13">
        <v>100</v>
      </c>
      <c r="M17" s="12">
        <v>93.565153858004422</v>
      </c>
      <c r="N17" s="12">
        <v>94.886264552220084</v>
      </c>
      <c r="O17" s="10"/>
      <c r="P17" s="10"/>
      <c r="Q17" s="10"/>
    </row>
    <row r="18" spans="1:17" ht="14.4" x14ac:dyDescent="0.3">
      <c r="A18" s="8" t="s">
        <v>31</v>
      </c>
      <c r="B18" s="8" t="s">
        <v>5</v>
      </c>
      <c r="C18" s="8">
        <v>6.6037228050906602E-2</v>
      </c>
      <c r="D18" s="8">
        <v>8.3503087121169703E-2</v>
      </c>
      <c r="E18" s="8">
        <v>7.6473043689989806E-2</v>
      </c>
      <c r="F18" s="8">
        <v>7.6477985844330895E-2</v>
      </c>
      <c r="J18" s="10" t="s">
        <v>6</v>
      </c>
      <c r="K18" s="12">
        <v>88.146596915950013</v>
      </c>
      <c r="L18" s="13">
        <v>100</v>
      </c>
      <c r="M18" s="12">
        <v>93.87955025323167</v>
      </c>
      <c r="N18" s="12">
        <v>98.67627178475513</v>
      </c>
      <c r="O18" s="10"/>
      <c r="P18" s="10"/>
      <c r="Q18" s="10"/>
    </row>
    <row r="19" spans="1:17" ht="14.4" x14ac:dyDescent="0.3">
      <c r="A19" s="8" t="s">
        <v>64</v>
      </c>
      <c r="B19" s="8" t="s">
        <v>21</v>
      </c>
      <c r="C19" s="8">
        <v>5.4888471947758099E-3</v>
      </c>
      <c r="D19" s="8">
        <v>6.4859470799929703E-3</v>
      </c>
      <c r="E19" s="8">
        <v>6.06858636454417E-3</v>
      </c>
      <c r="F19" s="8">
        <v>6.1542729050391197E-3</v>
      </c>
      <c r="J19" s="10" t="s">
        <v>14</v>
      </c>
      <c r="K19" s="12">
        <v>87.999622731126664</v>
      </c>
      <c r="L19" s="13">
        <v>100</v>
      </c>
      <c r="M19" s="12">
        <v>93.908301424056035</v>
      </c>
      <c r="N19" s="12">
        <v>98.725259620870659</v>
      </c>
      <c r="O19" s="10"/>
      <c r="P19" s="10"/>
      <c r="Q19" s="10"/>
    </row>
    <row r="20" spans="1:17" ht="14.4" x14ac:dyDescent="0.3">
      <c r="A20" s="8" t="s">
        <v>6</v>
      </c>
      <c r="B20" s="8" t="s">
        <v>21</v>
      </c>
      <c r="C20" s="8">
        <v>2.1453890982861998</v>
      </c>
      <c r="D20" s="8">
        <v>2.4338876069508202</v>
      </c>
      <c r="E20" s="8">
        <v>2.2849227390745699</v>
      </c>
      <c r="F20" s="8">
        <v>2.4016695499702601</v>
      </c>
      <c r="J20" s="10" t="s">
        <v>50</v>
      </c>
      <c r="K20" s="13">
        <v>100</v>
      </c>
      <c r="L20" s="12">
        <v>91.879334584415332</v>
      </c>
      <c r="M20" s="12">
        <v>92.944184528436054</v>
      </c>
      <c r="N20" s="12">
        <v>99.07239789650329</v>
      </c>
      <c r="O20" s="10"/>
      <c r="P20" s="10"/>
      <c r="Q20" s="10"/>
    </row>
    <row r="21" spans="1:17" ht="14.4" x14ac:dyDescent="0.3">
      <c r="A21" s="8" t="s">
        <v>14</v>
      </c>
      <c r="B21" s="8" t="s">
        <v>21</v>
      </c>
      <c r="C21" s="8">
        <v>1.9864738916342299</v>
      </c>
      <c r="D21" s="8">
        <v>2.2573663726987601</v>
      </c>
      <c r="E21" s="8">
        <v>2.11985441751923</v>
      </c>
      <c r="F21" s="8">
        <v>2.2285908120410798</v>
      </c>
      <c r="J21" s="10" t="s">
        <v>7</v>
      </c>
      <c r="K21" s="13">
        <v>100</v>
      </c>
      <c r="L21" s="12">
        <v>89.125795941330281</v>
      </c>
      <c r="M21" s="12">
        <v>91.156325073519582</v>
      </c>
      <c r="N21" s="12">
        <v>97.361810163808826</v>
      </c>
      <c r="O21" s="10"/>
      <c r="P21" s="10"/>
      <c r="Q21" s="10"/>
    </row>
    <row r="22" spans="1:17" ht="14.4" x14ac:dyDescent="0.3">
      <c r="A22" s="8" t="s">
        <v>50</v>
      </c>
      <c r="B22" s="8" t="s">
        <v>68</v>
      </c>
      <c r="C22" s="8">
        <v>5.1471942169357003</v>
      </c>
      <c r="D22" s="8">
        <v>4.7292077962880201</v>
      </c>
      <c r="E22" s="8">
        <v>4.7840176910257002</v>
      </c>
      <c r="F22" s="8">
        <v>5.0994487351083402</v>
      </c>
      <c r="J22" s="10" t="s">
        <v>24</v>
      </c>
      <c r="K22" s="12">
        <v>75.515335760903497</v>
      </c>
      <c r="L22" s="13">
        <v>100</v>
      </c>
      <c r="M22" s="12">
        <v>89.908567436954073</v>
      </c>
      <c r="N22" s="14">
        <v>90.998017721081354</v>
      </c>
      <c r="O22" s="10"/>
      <c r="P22" s="10"/>
      <c r="Q22" s="10"/>
    </row>
    <row r="23" spans="1:17" ht="14.4" x14ac:dyDescent="0.3">
      <c r="A23" s="8" t="s">
        <v>7</v>
      </c>
      <c r="B23" s="8" t="s">
        <v>10</v>
      </c>
      <c r="C23" s="8">
        <v>4.5581230711742604</v>
      </c>
      <c r="D23" s="8">
        <v>4.0624634671694704</v>
      </c>
      <c r="E23" s="8">
        <v>4.1550174840106999</v>
      </c>
      <c r="F23" s="8">
        <v>4.4378711315894499</v>
      </c>
      <c r="J23" s="10" t="s">
        <v>46</v>
      </c>
      <c r="K23" s="12">
        <v>98.82884872423395</v>
      </c>
      <c r="L23" s="12">
        <v>94.849843955819608</v>
      </c>
      <c r="M23" s="12">
        <v>94.604404499633191</v>
      </c>
      <c r="N23" s="13">
        <v>100</v>
      </c>
      <c r="O23" s="10"/>
      <c r="P23" s="10"/>
      <c r="Q23" s="10"/>
    </row>
    <row r="24" spans="1:17" ht="14.4" x14ac:dyDescent="0.3">
      <c r="A24" s="8" t="s">
        <v>24</v>
      </c>
      <c r="B24" s="8" t="s">
        <v>10</v>
      </c>
      <c r="C24" s="8">
        <v>0.39568310541146601</v>
      </c>
      <c r="D24" s="8">
        <v>0.52397715169310399</v>
      </c>
      <c r="E24" s="8">
        <v>0.47110035078422602</v>
      </c>
      <c r="F24" s="8">
        <v>0.476808821352109</v>
      </c>
      <c r="J24" s="10" t="s">
        <v>44</v>
      </c>
      <c r="K24" s="13">
        <v>100</v>
      </c>
      <c r="L24" s="12">
        <v>75.254292754253726</v>
      </c>
      <c r="M24" s="12">
        <v>81.335904997639389</v>
      </c>
      <c r="N24" s="12">
        <v>90.770821838387334</v>
      </c>
      <c r="O24" s="10"/>
      <c r="P24" s="10"/>
      <c r="Q24" s="10"/>
    </row>
    <row r="25" spans="1:17" ht="14.4" x14ac:dyDescent="0.3">
      <c r="A25" s="8" t="s">
        <v>46</v>
      </c>
      <c r="B25" s="8" t="s">
        <v>33</v>
      </c>
      <c r="C25" s="8">
        <v>7.9781655875647804E-3</v>
      </c>
      <c r="D25" s="8">
        <v>7.6569521025762104E-3</v>
      </c>
      <c r="E25" s="8">
        <v>7.6371384889557499E-3</v>
      </c>
      <c r="F25" s="8">
        <v>8.0727092246380104E-3</v>
      </c>
      <c r="J25" s="10" t="s">
        <v>32</v>
      </c>
      <c r="K25" s="12">
        <v>80.624497638298394</v>
      </c>
      <c r="L25" s="13">
        <v>100</v>
      </c>
      <c r="M25" s="12">
        <v>93.845765803980129</v>
      </c>
      <c r="N25" s="12">
        <v>93.246487774357149</v>
      </c>
      <c r="O25" s="10"/>
      <c r="P25" s="10"/>
      <c r="Q25" s="10"/>
    </row>
    <row r="26" spans="1:17" ht="14.4" x14ac:dyDescent="0.3">
      <c r="A26" s="8" t="s">
        <v>44</v>
      </c>
      <c r="B26" s="8" t="s">
        <v>73</v>
      </c>
      <c r="C26" s="8">
        <v>9.9034403314207093</v>
      </c>
      <c r="D26" s="8">
        <v>7.4527639797501797</v>
      </c>
      <c r="E26" s="8">
        <v>8.0550528194622508</v>
      </c>
      <c r="F26" s="8">
        <v>8.9894341791048902</v>
      </c>
      <c r="J26" s="10" t="s">
        <v>53</v>
      </c>
      <c r="K26" s="12">
        <v>81.164176570832538</v>
      </c>
      <c r="L26" s="13">
        <v>100</v>
      </c>
      <c r="M26" s="12">
        <v>92.329514216156554</v>
      </c>
      <c r="N26" s="12">
        <v>92.682374181724057</v>
      </c>
      <c r="O26" s="10"/>
      <c r="P26" s="10"/>
      <c r="Q26" s="10"/>
    </row>
    <row r="27" spans="1:17" ht="14.4" x14ac:dyDescent="0.3">
      <c r="A27" s="8" t="s">
        <v>32</v>
      </c>
      <c r="B27" s="8" t="s">
        <v>29</v>
      </c>
      <c r="C27" s="8">
        <v>12.603258119821</v>
      </c>
      <c r="D27" s="8">
        <v>15.632045456409999</v>
      </c>
      <c r="E27" s="8">
        <v>14.6700127693942</v>
      </c>
      <c r="F27" s="8">
        <v>14.576333355393301</v>
      </c>
      <c r="J27" s="10"/>
      <c r="K27" s="10"/>
      <c r="L27" s="10"/>
      <c r="M27" s="10"/>
      <c r="N27" s="10"/>
      <c r="O27" s="10"/>
      <c r="P27" s="10"/>
      <c r="Q27" s="10"/>
    </row>
    <row r="28" spans="1:17" ht="14.4" x14ac:dyDescent="0.3">
      <c r="A28" s="8" t="s">
        <v>53</v>
      </c>
      <c r="B28" s="8" t="s">
        <v>52</v>
      </c>
      <c r="C28" s="8">
        <v>5.6816470186266903</v>
      </c>
      <c r="D28" s="8">
        <v>7.00019055040653</v>
      </c>
      <c r="E28" s="8">
        <v>6.4632419293956502</v>
      </c>
      <c r="F28" s="8">
        <v>6.4879427993614698</v>
      </c>
      <c r="J28" s="10"/>
      <c r="K28" s="10"/>
      <c r="L28" s="10"/>
      <c r="M28" s="10"/>
      <c r="N28" s="10"/>
      <c r="O28" s="10"/>
      <c r="P28" s="10"/>
      <c r="Q28" s="10"/>
    </row>
    <row r="29" spans="1:17" ht="14.4" x14ac:dyDescent="0.3">
      <c r="J29" s="10"/>
      <c r="K29" s="10"/>
      <c r="L29" s="10"/>
      <c r="M29" s="10"/>
      <c r="N29" s="10"/>
      <c r="O29" s="10"/>
      <c r="P29" s="10"/>
      <c r="Q29" s="10"/>
    </row>
    <row r="30" spans="1:17" ht="14.4" x14ac:dyDescent="0.3">
      <c r="J30" s="10"/>
      <c r="K30" s="10"/>
      <c r="L30" s="10"/>
      <c r="M30" s="10"/>
      <c r="N30" s="10"/>
      <c r="O30" s="10"/>
      <c r="P30" s="10"/>
      <c r="Q30" s="10"/>
    </row>
    <row r="31" spans="1:17" ht="14.4" x14ac:dyDescent="0.3">
      <c r="J31" s="10" t="s">
        <v>152</v>
      </c>
      <c r="K31" s="10"/>
      <c r="L31" s="10"/>
      <c r="M31" s="10"/>
      <c r="N31" s="10"/>
      <c r="O31" s="10"/>
      <c r="P31" s="10"/>
      <c r="Q31" s="10"/>
    </row>
    <row r="32" spans="1:17" ht="14.4" x14ac:dyDescent="0.3">
      <c r="J32" s="11" t="s">
        <v>148</v>
      </c>
      <c r="K32" s="11" t="s">
        <v>166</v>
      </c>
      <c r="L32" s="11" t="s">
        <v>167</v>
      </c>
      <c r="M32" s="11" t="s">
        <v>168</v>
      </c>
    </row>
    <row r="33" spans="10:13" ht="14.4" x14ac:dyDescent="0.3">
      <c r="J33" s="10" t="s">
        <v>18</v>
      </c>
      <c r="K33" s="15">
        <f>20.3820854332918+100</f>
        <v>120.38208543329179</v>
      </c>
      <c r="L33" s="15">
        <f>11.8291887483195+100</f>
        <v>111.8291887483195</v>
      </c>
      <c r="M33" s="15">
        <f>11.8205418866978+100</f>
        <v>111.8205418866978</v>
      </c>
    </row>
    <row r="34" spans="10:13" ht="14.4" x14ac:dyDescent="0.3">
      <c r="J34" s="10" t="s">
        <v>66</v>
      </c>
      <c r="K34" s="15">
        <f>1.5531009455546+100</f>
        <v>101.5531009455546</v>
      </c>
      <c r="L34" s="15">
        <f>-0.202283369131436+100</f>
        <v>99.797716630868564</v>
      </c>
      <c r="M34" s="15">
        <f>3.15515262386731+100</f>
        <v>103.15515262386731</v>
      </c>
    </row>
    <row r="35" spans="10:13" ht="14.4" x14ac:dyDescent="0.3">
      <c r="J35" s="10" t="s">
        <v>47</v>
      </c>
      <c r="K35" s="15">
        <f>21.6851212481492+100</f>
        <v>121.6851212481492</v>
      </c>
      <c r="L35" s="15">
        <f>12.9996085852153+100</f>
        <v>112.9996085852153</v>
      </c>
      <c r="M35" s="15">
        <f>12.7365297706593+100</f>
        <v>112.7365297706593</v>
      </c>
    </row>
    <row r="36" spans="10:13" ht="14.4" x14ac:dyDescent="0.3">
      <c r="J36" s="10" t="s">
        <v>45</v>
      </c>
      <c r="K36" s="15">
        <f>26.1152503334779+100</f>
        <v>126.1152503334779</v>
      </c>
      <c r="L36" s="15">
        <f>15.0293543942795+100</f>
        <v>115.02935439427949</v>
      </c>
      <c r="M36" s="15">
        <f>18.1980138485478+100</f>
        <v>118.1980138485478</v>
      </c>
    </row>
    <row r="37" spans="10:13" ht="14.4" x14ac:dyDescent="0.3">
      <c r="J37" s="10" t="s">
        <v>15</v>
      </c>
      <c r="K37" s="15">
        <f>27.474675912165+100</f>
        <v>127.474675912165</v>
      </c>
      <c r="L37" s="15">
        <f>20.1638818356848+100</f>
        <v>120.1638818356848</v>
      </c>
      <c r="M37" s="15">
        <f>14.0335272996031+100</f>
        <v>114.03352729960309</v>
      </c>
    </row>
    <row r="38" spans="10:13" ht="14.4" x14ac:dyDescent="0.3">
      <c r="J38" s="10" t="s">
        <v>56</v>
      </c>
      <c r="K38" s="15">
        <f>24.8291875048883+100</f>
        <v>124.8291875048883</v>
      </c>
      <c r="L38" s="15">
        <f>14.2518436607757+100</f>
        <v>114.25184366077571</v>
      </c>
      <c r="M38" s="15">
        <f>17.4827689337395+100</f>
        <v>117.48276893373949</v>
      </c>
    </row>
    <row r="39" spans="10:13" ht="14.4" x14ac:dyDescent="0.3">
      <c r="J39" s="10" t="s">
        <v>26</v>
      </c>
      <c r="K39" s="15">
        <f>23.1904437008948+100</f>
        <v>123.1904437008948</v>
      </c>
      <c r="L39" s="15">
        <f>14.5509941420661+100</f>
        <v>114.5509941420661</v>
      </c>
      <c r="M39" s="15">
        <f>13.9359058567097+100</f>
        <v>113.9359058567097</v>
      </c>
    </row>
    <row r="40" spans="10:13" ht="14.4" x14ac:dyDescent="0.3">
      <c r="J40" s="10" t="s">
        <v>31</v>
      </c>
      <c r="K40" s="15">
        <f>20.9164231795631+100</f>
        <v>120.9164231795631</v>
      </c>
      <c r="L40" s="15">
        <f>12.4975207490712+100</f>
        <v>112.4975207490712</v>
      </c>
      <c r="M40" s="15">
        <f>12.5034392779682+100</f>
        <v>112.5034392779682</v>
      </c>
    </row>
    <row r="41" spans="10:13" ht="14.4" x14ac:dyDescent="0.3">
      <c r="J41" s="10" t="s">
        <v>64</v>
      </c>
      <c r="K41" s="15">
        <f>15.3732349789422+100</f>
        <v>115.37323497894221</v>
      </c>
      <c r="L41" s="15">
        <f>8.93838883694661+100</f>
        <v>108.93838883694661</v>
      </c>
      <c r="M41" s="15">
        <f>10.2594995311623+100</f>
        <v>110.25949953116231</v>
      </c>
    </row>
    <row r="42" spans="10:13" ht="14.4" x14ac:dyDescent="0.3">
      <c r="J42" s="10" t="s">
        <v>6</v>
      </c>
      <c r="K42" s="15">
        <f>11.85340308405+100</f>
        <v>111.85340308405</v>
      </c>
      <c r="L42" s="15">
        <f>5.73295333728166+100</f>
        <v>105.73295333728166</v>
      </c>
      <c r="M42" s="15">
        <f>10.5296748688051+100</f>
        <v>110.5296748688051</v>
      </c>
    </row>
    <row r="43" spans="10:13" ht="14.4" x14ac:dyDescent="0.3">
      <c r="J43" s="10" t="s">
        <v>14</v>
      </c>
      <c r="K43" s="15">
        <f>12.0003772688733+100</f>
        <v>112.00037726887331</v>
      </c>
      <c r="L43" s="15">
        <f>5.90867869292937+100</f>
        <v>105.90867869292937</v>
      </c>
      <c r="M43" s="15">
        <f>10.725636889744+100</f>
        <v>110.725636889744</v>
      </c>
    </row>
    <row r="44" spans="10:13" ht="14.4" x14ac:dyDescent="0.3">
      <c r="J44" s="10" t="s">
        <v>50</v>
      </c>
      <c r="K44" s="15">
        <f>-8.12066541558467+100</f>
        <v>91.879334584415332</v>
      </c>
      <c r="L44" s="15">
        <f>-7.05581547156395+100</f>
        <v>92.944184528436054</v>
      </c>
      <c r="M44" s="15">
        <f>-0.92760210349671+100</f>
        <v>99.07239789650329</v>
      </c>
    </row>
    <row r="45" spans="10:13" ht="14.4" x14ac:dyDescent="0.3">
      <c r="J45" s="10" t="s">
        <v>7</v>
      </c>
      <c r="K45" s="15">
        <f>-10.8742040586697+100</f>
        <v>89.125795941330296</v>
      </c>
      <c r="L45" s="15">
        <f>-8.84367492648042+100</f>
        <v>91.156325073519582</v>
      </c>
      <c r="M45" s="15">
        <f>-2.63818983619117+100</f>
        <v>97.361810163808826</v>
      </c>
    </row>
    <row r="46" spans="10:13" ht="14.4" x14ac:dyDescent="0.3">
      <c r="J46" s="10" t="s">
        <v>24</v>
      </c>
      <c r="K46" s="15">
        <f>24.4846642390965+100</f>
        <v>124.4846642390965</v>
      </c>
      <c r="L46" s="15">
        <f>14.3932316760506+100</f>
        <v>114.3932316760506</v>
      </c>
      <c r="M46" s="15">
        <f>15.4826819601779+100</f>
        <v>115.4826819601779</v>
      </c>
    </row>
    <row r="47" spans="10:13" ht="14.4" x14ac:dyDescent="0.3">
      <c r="J47" s="10" t="s">
        <v>46</v>
      </c>
      <c r="K47" s="15">
        <f>-3.97900476841434+100</f>
        <v>96.020995231585658</v>
      </c>
      <c r="L47" s="15">
        <f>-4.22444422460076+100</f>
        <v>95.775555775399241</v>
      </c>
      <c r="M47" s="15">
        <f>1.17115127576605+100</f>
        <v>101.17115127576605</v>
      </c>
    </row>
    <row r="48" spans="10:13" ht="14.4" x14ac:dyDescent="0.3">
      <c r="J48" s="10" t="s">
        <v>44</v>
      </c>
      <c r="K48" s="15">
        <f>-24.7457072457463+100</f>
        <v>75.254292754253697</v>
      </c>
      <c r="L48" s="15">
        <f>-18.6640950023606+100</f>
        <v>81.335904997639403</v>
      </c>
      <c r="M48" s="15">
        <f>-9.22917816161267+100</f>
        <v>90.770821838387334</v>
      </c>
    </row>
    <row r="49" spans="1:17" ht="14.4" x14ac:dyDescent="0.3">
      <c r="J49" s="10" t="s">
        <v>32</v>
      </c>
      <c r="K49" s="15">
        <f>19.3755023617016+100</f>
        <v>119.37550236170159</v>
      </c>
      <c r="L49" s="15">
        <f>13.2212681656817+100</f>
        <v>113.22126816568169</v>
      </c>
      <c r="M49" s="15">
        <f>12.6219901360588+100</f>
        <v>112.6219901360588</v>
      </c>
    </row>
    <row r="50" spans="1:17" ht="14.4" x14ac:dyDescent="0.3">
      <c r="J50" s="10" t="s">
        <v>53</v>
      </c>
      <c r="K50" s="15">
        <f>18.8358234291675+100</f>
        <v>118.8358234291675</v>
      </c>
      <c r="L50" s="15">
        <f>11.165337645324+100</f>
        <v>111.165337645324</v>
      </c>
      <c r="M50" s="15">
        <f>11.5181976108915+100</f>
        <v>111.51819761089151</v>
      </c>
    </row>
    <row r="51" spans="1:17" ht="14.4" x14ac:dyDescent="0.3">
      <c r="J51" s="10"/>
      <c r="K51" s="10"/>
      <c r="L51" s="10"/>
      <c r="M51" s="10"/>
      <c r="N51" s="10"/>
      <c r="O51" s="10"/>
      <c r="P51" s="10"/>
      <c r="Q51" s="10"/>
    </row>
    <row r="52" spans="1:17" ht="14.4" x14ac:dyDescent="0.3">
      <c r="J52" s="10"/>
      <c r="K52" s="10"/>
      <c r="L52" s="10"/>
      <c r="M52" s="10"/>
      <c r="N52" s="10"/>
      <c r="O52" s="10"/>
      <c r="P52" s="10"/>
      <c r="Q52" s="10"/>
    </row>
    <row r="56" spans="1:17" ht="14.4" x14ac:dyDescent="0.3">
      <c r="A56" s="10" t="s">
        <v>135</v>
      </c>
      <c r="B56" s="10"/>
      <c r="C56" s="10"/>
      <c r="D56" s="10"/>
      <c r="E56" s="10"/>
      <c r="F56" s="10"/>
      <c r="G56" s="10"/>
      <c r="H56" s="10"/>
      <c r="I56" s="10"/>
      <c r="J56" s="10"/>
    </row>
    <row r="57" spans="1:17" ht="14.4" x14ac:dyDescent="0.3">
      <c r="A57" s="10" t="s">
        <v>187</v>
      </c>
      <c r="B57" s="10"/>
      <c r="C57" s="10"/>
      <c r="D57" s="10"/>
      <c r="E57" s="10"/>
      <c r="F57" s="10"/>
      <c r="G57" s="10"/>
      <c r="H57" s="10"/>
      <c r="I57" s="10"/>
      <c r="J57" s="10"/>
    </row>
    <row r="58" spans="1:17" ht="14.4" x14ac:dyDescent="0.3">
      <c r="A58" s="10" t="s">
        <v>178</v>
      </c>
      <c r="B58" s="10"/>
      <c r="C58" s="10"/>
      <c r="D58" s="10"/>
      <c r="E58" s="10"/>
      <c r="F58" s="10"/>
      <c r="G58" s="10"/>
      <c r="H58" s="10"/>
      <c r="I58" s="10"/>
      <c r="J58" s="10"/>
    </row>
    <row r="59" spans="1:17" ht="14.4" x14ac:dyDescent="0.3">
      <c r="A59" s="16" t="s">
        <v>170</v>
      </c>
      <c r="B59" s="16"/>
      <c r="C59" s="16"/>
      <c r="D59" s="16"/>
      <c r="E59" s="16"/>
      <c r="F59" s="16"/>
      <c r="G59" s="16"/>
      <c r="H59" s="10"/>
      <c r="I59" s="10"/>
      <c r="J59" s="10"/>
    </row>
    <row r="60" spans="1:17" ht="14.4" x14ac:dyDescent="0.3">
      <c r="A60" s="10" t="s">
        <v>171</v>
      </c>
      <c r="B60" s="10"/>
      <c r="C60" s="10"/>
      <c r="D60" s="10"/>
      <c r="E60" s="10"/>
      <c r="F60" s="10"/>
      <c r="G60" s="10"/>
      <c r="H60" s="10"/>
      <c r="I60" s="10"/>
      <c r="J60" s="10"/>
    </row>
    <row r="61" spans="1:17" ht="14.4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7" ht="14.4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7" ht="14.4" x14ac:dyDescent="0.3">
      <c r="A63" s="11" t="s">
        <v>148</v>
      </c>
      <c r="B63" s="11" t="s">
        <v>172</v>
      </c>
      <c r="C63" s="11" t="s">
        <v>166</v>
      </c>
      <c r="D63" s="11" t="s">
        <v>167</v>
      </c>
      <c r="E63" s="11" t="s">
        <v>168</v>
      </c>
      <c r="F63" s="11"/>
      <c r="G63" s="11"/>
      <c r="H63" s="11"/>
      <c r="I63" s="11"/>
      <c r="J63" s="11"/>
    </row>
    <row r="64" spans="1:17" ht="14.4" x14ac:dyDescent="0.3">
      <c r="A64" s="10" t="s">
        <v>18</v>
      </c>
      <c r="B64" s="14">
        <v>2.0958967694176393E-3</v>
      </c>
      <c r="C64" s="12">
        <v>2.6324436916287009E-3</v>
      </c>
      <c r="D64" s="12">
        <v>2.4072935023936259E-3</v>
      </c>
      <c r="E64" s="12">
        <v>2.4070658786303468E-3</v>
      </c>
      <c r="F64" s="10"/>
      <c r="G64" s="10"/>
      <c r="H64" s="10"/>
      <c r="I64" s="10"/>
      <c r="J64" s="10"/>
    </row>
    <row r="65" spans="1:10" ht="14.4" x14ac:dyDescent="0.3">
      <c r="A65" s="10" t="s">
        <v>66</v>
      </c>
      <c r="B65" s="12">
        <v>1.4313299818122997E-4</v>
      </c>
      <c r="C65" s="12">
        <v>1.4542842226251271E-4</v>
      </c>
      <c r="D65" s="12">
        <v>1.4283403106123921E-4</v>
      </c>
      <c r="E65" s="12">
        <v>1.4779619366358276E-4</v>
      </c>
      <c r="F65" s="10"/>
      <c r="G65" s="10"/>
      <c r="H65" s="10"/>
      <c r="I65" s="10"/>
      <c r="J65" s="10"/>
    </row>
    <row r="66" spans="1:10" ht="14.4" x14ac:dyDescent="0.3">
      <c r="A66" s="10" t="s">
        <v>47</v>
      </c>
      <c r="B66" s="14">
        <v>4.009249167473891E-3</v>
      </c>
      <c r="C66" s="12">
        <v>5.1193965072430818E-3</v>
      </c>
      <c r="D66" s="12">
        <v>4.6747506753406663E-3</v>
      </c>
      <c r="E66" s="12">
        <v>4.6612826276969874E-3</v>
      </c>
      <c r="F66" s="10"/>
      <c r="G66" s="10"/>
      <c r="H66" s="10"/>
      <c r="I66" s="10"/>
      <c r="J66" s="10"/>
    </row>
    <row r="67" spans="1:10" ht="14.4" x14ac:dyDescent="0.3">
      <c r="A67" s="10" t="s">
        <v>45</v>
      </c>
      <c r="B67" s="12">
        <v>9.2246088260899015E-2</v>
      </c>
      <c r="C67" s="12">
        <v>0.12485132409225221</v>
      </c>
      <c r="D67" s="14">
        <v>0.11101043622467408</v>
      </c>
      <c r="E67" s="12">
        <v>0.1149665495093023</v>
      </c>
      <c r="F67" s="10"/>
      <c r="G67" s="10"/>
      <c r="H67" s="10"/>
      <c r="I67" s="10"/>
      <c r="J67" s="10"/>
    </row>
    <row r="68" spans="1:10" ht="14.4" x14ac:dyDescent="0.3">
      <c r="A68" s="10" t="s">
        <v>15</v>
      </c>
      <c r="B68" s="12">
        <v>1.8104281541797532E-3</v>
      </c>
      <c r="C68" s="12">
        <v>2.4962703399810577E-3</v>
      </c>
      <c r="D68" s="12">
        <v>2.3137731558327867E-3</v>
      </c>
      <c r="E68" s="12">
        <v>2.1607429338128844E-3</v>
      </c>
      <c r="F68" s="10"/>
      <c r="G68" s="10"/>
      <c r="H68" s="10"/>
      <c r="I68" s="10"/>
      <c r="J68" s="10"/>
    </row>
    <row r="69" spans="1:10" ht="14.4" x14ac:dyDescent="0.3">
      <c r="A69" s="10" t="s">
        <v>56</v>
      </c>
      <c r="B69" s="12">
        <v>0.10356940209836583</v>
      </c>
      <c r="C69" s="12">
        <v>0.13777874504828666</v>
      </c>
      <c r="D69" s="12">
        <v>0.12320541344042603</v>
      </c>
      <c r="E69" s="12">
        <v>0.12765694173496314</v>
      </c>
      <c r="F69" s="10"/>
      <c r="G69" s="10"/>
      <c r="H69" s="10"/>
      <c r="I69" s="10"/>
      <c r="J69" s="10"/>
    </row>
    <row r="70" spans="1:10" ht="14.4" x14ac:dyDescent="0.3">
      <c r="A70" s="10" t="s">
        <v>26</v>
      </c>
      <c r="B70" s="12">
        <v>1.4518436383679988E-3</v>
      </c>
      <c r="C70" s="12">
        <v>1.8901862064068654E-3</v>
      </c>
      <c r="D70" s="12">
        <v>1.7268845225364045E-3</v>
      </c>
      <c r="E70" s="12">
        <v>1.7152582086093738E-3</v>
      </c>
      <c r="F70" s="10"/>
      <c r="G70" s="10"/>
      <c r="H70" s="10"/>
      <c r="I70" s="10"/>
      <c r="J70" s="10"/>
    </row>
    <row r="71" spans="1:10" ht="14.4" x14ac:dyDescent="0.3">
      <c r="A71" s="10" t="s">
        <v>31</v>
      </c>
      <c r="B71" s="12">
        <v>4.4310980022158287E-3</v>
      </c>
      <c r="C71" s="12">
        <v>5.6030571458304899E-3</v>
      </c>
      <c r="D71" s="12">
        <v>5.1313412315983171E-3</v>
      </c>
      <c r="E71" s="12">
        <v>5.1316728501546111E-3</v>
      </c>
      <c r="F71" s="10"/>
      <c r="G71" s="10"/>
      <c r="H71" s="10"/>
      <c r="I71" s="10"/>
      <c r="J71" s="10"/>
    </row>
    <row r="72" spans="1:10" ht="14.4" x14ac:dyDescent="0.3">
      <c r="A72" s="10" t="s">
        <v>64</v>
      </c>
      <c r="B72" s="12">
        <v>6.6415051056787028E-4</v>
      </c>
      <c r="C72" s="12">
        <v>7.8479959667914769E-4</v>
      </c>
      <c r="D72" s="12">
        <v>7.3429895010984679E-4</v>
      </c>
      <c r="E72" s="12">
        <v>7.4466702150973178E-4</v>
      </c>
      <c r="F72" s="10"/>
      <c r="G72" s="10"/>
      <c r="H72" s="10"/>
      <c r="I72" s="10"/>
      <c r="J72" s="10"/>
    </row>
    <row r="73" spans="1:10" ht="14.4" x14ac:dyDescent="0.3">
      <c r="A73" s="10" t="s">
        <v>6</v>
      </c>
      <c r="B73" s="14">
        <v>0.1950158690342155</v>
      </c>
      <c r="C73" s="12">
        <v>0.22124038347182887</v>
      </c>
      <c r="D73" s="12">
        <v>0.20769947698187827</v>
      </c>
      <c r="E73" s="12">
        <v>0.21831176209229675</v>
      </c>
      <c r="F73" s="10"/>
      <c r="G73" s="10"/>
      <c r="H73" s="10"/>
      <c r="I73" s="10"/>
      <c r="J73" s="10"/>
    </row>
    <row r="74" spans="1:10" ht="14.4" x14ac:dyDescent="0.3">
      <c r="A74" s="10" t="s">
        <v>14</v>
      </c>
      <c r="B74" s="12">
        <v>0.22844449753793653</v>
      </c>
      <c r="C74" s="12">
        <v>0.25959713286035807</v>
      </c>
      <c r="D74" s="12">
        <v>0.2437832580147116</v>
      </c>
      <c r="E74" s="12">
        <v>0.25628794338472499</v>
      </c>
      <c r="F74" s="10"/>
      <c r="G74" s="10"/>
      <c r="H74" s="10"/>
      <c r="I74" s="10"/>
      <c r="J74" s="10"/>
    </row>
    <row r="75" spans="1:10" ht="14.4" x14ac:dyDescent="0.3">
      <c r="A75" s="10" t="s">
        <v>50</v>
      </c>
      <c r="B75" s="12">
        <v>8.2355107470971146E-4</v>
      </c>
      <c r="C75" s="12">
        <v>7.5667324740608327E-4</v>
      </c>
      <c r="D75" s="12">
        <v>7.6544283056411279E-4</v>
      </c>
      <c r="E75" s="12">
        <v>8.1591179761733405E-4</v>
      </c>
      <c r="F75" s="10"/>
      <c r="G75" s="10"/>
      <c r="H75" s="10"/>
      <c r="I75" s="10"/>
      <c r="J75" s="10"/>
    </row>
    <row r="76" spans="1:10" ht="14.4" x14ac:dyDescent="0.3">
      <c r="A76" s="10" t="s">
        <v>7</v>
      </c>
      <c r="B76" s="14">
        <v>1.0073451987295113E-3</v>
      </c>
      <c r="C76" s="12">
        <v>8.978044262444515E-4</v>
      </c>
      <c r="D76" s="12">
        <v>9.1825886396636593E-4</v>
      </c>
      <c r="E76" s="12">
        <v>9.8076952008126954E-4</v>
      </c>
      <c r="F76" s="10"/>
      <c r="G76" s="10"/>
      <c r="H76" s="10"/>
      <c r="I76" s="10"/>
      <c r="J76" s="10"/>
    </row>
    <row r="77" spans="1:10" ht="14.4" x14ac:dyDescent="0.3">
      <c r="A77" s="10" t="s">
        <v>24</v>
      </c>
      <c r="B77" s="12">
        <v>9.7338043931220579E-4</v>
      </c>
      <c r="C77" s="12">
        <v>1.2889837931650367E-3</v>
      </c>
      <c r="D77" s="12">
        <v>1.1589068629291952E-3</v>
      </c>
      <c r="E77" s="12">
        <v>1.1729497005261867E-3</v>
      </c>
      <c r="F77" s="10"/>
      <c r="G77" s="10"/>
      <c r="H77" s="10"/>
      <c r="I77" s="10"/>
      <c r="J77" s="10"/>
    </row>
    <row r="78" spans="1:10" ht="14.4" x14ac:dyDescent="0.3">
      <c r="A78" s="10" t="s">
        <v>46</v>
      </c>
      <c r="B78" s="12">
        <v>4.9384844987025951E-2</v>
      </c>
      <c r="C78" s="12">
        <v>4.7396533514946639E-2</v>
      </c>
      <c r="D78" s="12">
        <v>4.7273887246636143E-2</v>
      </c>
      <c r="E78" s="12">
        <v>4.9970070100509245E-2</v>
      </c>
      <c r="F78" s="10"/>
      <c r="G78" s="10"/>
      <c r="H78" s="10"/>
      <c r="I78" s="10"/>
      <c r="J78" s="10"/>
    </row>
    <row r="79" spans="1:10" ht="14.4" x14ac:dyDescent="0.3">
      <c r="A79" s="10" t="s">
        <v>44</v>
      </c>
      <c r="B79" s="15">
        <v>0</v>
      </c>
      <c r="C79" s="15">
        <v>0</v>
      </c>
      <c r="D79" s="15">
        <v>0</v>
      </c>
      <c r="E79" s="15">
        <v>0</v>
      </c>
      <c r="F79" s="10"/>
      <c r="G79" s="10"/>
      <c r="H79" s="10"/>
      <c r="I79" s="10"/>
      <c r="J79" s="10"/>
    </row>
    <row r="80" spans="1:10" ht="14.4" x14ac:dyDescent="0.3">
      <c r="A80" s="10" t="s">
        <v>32</v>
      </c>
      <c r="B80" s="12">
        <v>1.7644561367749379E-2</v>
      </c>
      <c r="C80" s="12">
        <v>2.1884863638973972E-2</v>
      </c>
      <c r="D80" s="12">
        <v>2.0538017877151926E-2</v>
      </c>
      <c r="E80" s="12">
        <v>2.04068666975506E-2</v>
      </c>
      <c r="F80" s="10"/>
      <c r="G80" s="10"/>
      <c r="H80" s="10"/>
      <c r="I80" s="10"/>
      <c r="J80" s="10"/>
    </row>
    <row r="81" spans="1:10" ht="14.4" x14ac:dyDescent="0.3">
      <c r="A81" s="10" t="s">
        <v>53</v>
      </c>
      <c r="B81" s="12">
        <v>3.653299032976961E-3</v>
      </c>
      <c r="C81" s="12">
        <v>4.5011225239114001E-3</v>
      </c>
      <c r="D81" s="12">
        <v>4.1558645606014069E-3</v>
      </c>
      <c r="E81" s="12">
        <v>4.1717472199894285E-3</v>
      </c>
      <c r="F81" s="10"/>
      <c r="G81" s="10"/>
      <c r="H81" s="10"/>
      <c r="I81" s="10"/>
      <c r="J81" s="10"/>
    </row>
    <row r="82" spans="1:10" ht="14.4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workbookViewId="0">
      <selection activeCell="Y37" sqref="Y37"/>
    </sheetView>
  </sheetViews>
  <sheetFormatPr defaultRowHeight="13.2" x14ac:dyDescent="0.25"/>
  <cols>
    <col min="1" max="10" width="8.88671875" style="8"/>
    <col min="11" max="11" width="16.6640625" style="8" customWidth="1"/>
    <col min="12" max="16384" width="8.88671875" style="8"/>
  </cols>
  <sheetData>
    <row r="1" spans="1:21" ht="14.4" x14ac:dyDescent="0.3">
      <c r="K1" s="10" t="s">
        <v>135</v>
      </c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4.4" x14ac:dyDescent="0.3">
      <c r="A2" s="8" t="s">
        <v>69</v>
      </c>
      <c r="B2" s="8" t="s">
        <v>134</v>
      </c>
      <c r="K2" s="10" t="s">
        <v>188</v>
      </c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4.4" x14ac:dyDescent="0.3">
      <c r="A3" s="8" t="s">
        <v>39</v>
      </c>
      <c r="B3" s="8" t="s">
        <v>40</v>
      </c>
      <c r="K3" s="10" t="s">
        <v>189</v>
      </c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14.4" x14ac:dyDescent="0.3">
      <c r="A4" s="8" t="s">
        <v>137</v>
      </c>
      <c r="B4" s="8" t="s">
        <v>190</v>
      </c>
      <c r="K4" s="16" t="s">
        <v>141</v>
      </c>
      <c r="L4" s="16"/>
      <c r="M4" s="16"/>
      <c r="N4" s="16"/>
      <c r="O4" s="16"/>
      <c r="P4" s="16"/>
      <c r="Q4" s="16"/>
      <c r="R4" s="16"/>
      <c r="S4" s="16"/>
      <c r="T4" s="16"/>
      <c r="U4" s="10"/>
    </row>
    <row r="5" spans="1:21" ht="14.4" x14ac:dyDescent="0.3">
      <c r="A5" s="8" t="s">
        <v>140</v>
      </c>
      <c r="B5" s="8" t="s">
        <v>191</v>
      </c>
      <c r="K5" s="10" t="s">
        <v>144</v>
      </c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14.4" x14ac:dyDescent="0.3">
      <c r="A6" s="8" t="s">
        <v>142</v>
      </c>
      <c r="B6" s="8" t="s">
        <v>192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4.4" x14ac:dyDescent="0.3">
      <c r="A7" s="8" t="s">
        <v>160</v>
      </c>
      <c r="B7" s="8" t="s">
        <v>193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14.4" x14ac:dyDescent="0.3">
      <c r="A8" s="8" t="s">
        <v>49</v>
      </c>
      <c r="B8" s="8" t="s">
        <v>58</v>
      </c>
      <c r="K8" s="11" t="s">
        <v>148</v>
      </c>
      <c r="L8" s="11" t="s">
        <v>194</v>
      </c>
      <c r="M8" s="11" t="s">
        <v>195</v>
      </c>
      <c r="N8" s="11" t="s">
        <v>195</v>
      </c>
      <c r="O8" s="11" t="s">
        <v>196</v>
      </c>
      <c r="P8" s="11" t="s">
        <v>196</v>
      </c>
      <c r="Q8" s="11" t="s">
        <v>197</v>
      </c>
      <c r="R8" s="11" t="s">
        <v>197</v>
      </c>
      <c r="S8" s="11"/>
      <c r="T8" s="11"/>
      <c r="U8" s="11"/>
    </row>
    <row r="9" spans="1:21" ht="14.4" x14ac:dyDescent="0.3">
      <c r="A9" s="9" t="s">
        <v>60</v>
      </c>
      <c r="B9" s="9" t="s">
        <v>62</v>
      </c>
      <c r="C9" s="9"/>
      <c r="K9" s="10" t="s">
        <v>18</v>
      </c>
      <c r="L9" s="12">
        <v>87.781487140565943</v>
      </c>
      <c r="M9" s="12">
        <f>N9-L9</f>
        <v>12.218512859434057</v>
      </c>
      <c r="N9" s="13">
        <v>100</v>
      </c>
      <c r="O9" s="13">
        <f>P9-L9</f>
        <v>6.2076644565762393</v>
      </c>
      <c r="P9" s="12">
        <v>93.989151597142182</v>
      </c>
      <c r="Q9" s="12">
        <f>R9-L9</f>
        <v>8.126774731576532</v>
      </c>
      <c r="R9" s="12">
        <v>95.908261872142475</v>
      </c>
      <c r="S9" s="10"/>
      <c r="T9" s="10"/>
      <c r="U9" s="10"/>
    </row>
    <row r="10" spans="1:21" ht="14.4" x14ac:dyDescent="0.3">
      <c r="K10" s="10" t="s">
        <v>66</v>
      </c>
      <c r="L10" s="13">
        <v>100</v>
      </c>
      <c r="M10" s="12">
        <f t="shared" ref="M10:M26" si="0">N10-L10</f>
        <v>-21.228198489404988</v>
      </c>
      <c r="N10" s="12">
        <v>78.771801510595012</v>
      </c>
      <c r="O10" s="13">
        <f t="shared" ref="O10:O26" si="1">P10-L10</f>
        <v>-16.209604070242221</v>
      </c>
      <c r="P10" s="12">
        <v>83.790395929757779</v>
      </c>
      <c r="Q10" s="12">
        <f t="shared" ref="Q10:Q26" si="2">R10-L10</f>
        <v>-7.5753517240475929</v>
      </c>
      <c r="R10" s="12">
        <v>92.424648275952407</v>
      </c>
      <c r="S10" s="10"/>
      <c r="T10" s="10"/>
      <c r="U10" s="10"/>
    </row>
    <row r="11" spans="1:21" ht="14.4" x14ac:dyDescent="0.3">
      <c r="A11" s="8" t="s">
        <v>22</v>
      </c>
      <c r="B11" s="8" t="s">
        <v>43</v>
      </c>
      <c r="C11" s="8" t="s">
        <v>194</v>
      </c>
      <c r="D11" s="8" t="s">
        <v>195</v>
      </c>
      <c r="E11" s="8" t="s">
        <v>196</v>
      </c>
      <c r="F11" s="8" t="s">
        <v>197</v>
      </c>
      <c r="K11" s="10" t="s">
        <v>47</v>
      </c>
      <c r="L11" s="12">
        <v>90.002838715527957</v>
      </c>
      <c r="M11" s="12">
        <f t="shared" si="0"/>
        <v>9.9971612844720426</v>
      </c>
      <c r="N11" s="13">
        <v>100</v>
      </c>
      <c r="O11" s="13">
        <f t="shared" si="1"/>
        <v>4.8940489258814637</v>
      </c>
      <c r="P11" s="12">
        <v>94.896887641409421</v>
      </c>
      <c r="Q11" s="12">
        <f t="shared" si="2"/>
        <v>7.3798442060801364</v>
      </c>
      <c r="R11" s="12">
        <v>97.382682921608094</v>
      </c>
      <c r="S11" s="10"/>
      <c r="T11" s="10"/>
      <c r="U11" s="10"/>
    </row>
    <row r="12" spans="1:21" ht="14.4" x14ac:dyDescent="0.3">
      <c r="A12" s="8" t="s">
        <v>18</v>
      </c>
      <c r="B12" s="8" t="s">
        <v>59</v>
      </c>
      <c r="C12" s="8">
        <v>30.4599044003239</v>
      </c>
      <c r="D12" s="8">
        <v>34.699690552687898</v>
      </c>
      <c r="E12" s="8">
        <v>32.613944757305099</v>
      </c>
      <c r="F12" s="8">
        <v>33.279870084095002</v>
      </c>
      <c r="K12" s="10" t="s">
        <v>45</v>
      </c>
      <c r="L12" s="12">
        <v>75.888282837223713</v>
      </c>
      <c r="M12" s="12">
        <f t="shared" si="0"/>
        <v>24.111717162776287</v>
      </c>
      <c r="N12" s="13">
        <v>100</v>
      </c>
      <c r="O12" s="13">
        <f t="shared" si="1"/>
        <v>13.674530119561027</v>
      </c>
      <c r="P12" s="12">
        <v>89.56281295678474</v>
      </c>
      <c r="Q12" s="12">
        <f t="shared" si="2"/>
        <v>17.16584159021653</v>
      </c>
      <c r="R12" s="12">
        <v>93.054124427440243</v>
      </c>
      <c r="S12" s="10"/>
      <c r="T12" s="10"/>
      <c r="U12" s="10"/>
    </row>
    <row r="13" spans="1:21" ht="14.4" x14ac:dyDescent="0.3">
      <c r="A13" s="8" t="s">
        <v>66</v>
      </c>
      <c r="B13" s="8" t="s">
        <v>0</v>
      </c>
      <c r="C13" s="8">
        <v>2.0021930149976702E-5</v>
      </c>
      <c r="D13" s="8">
        <v>1.5771635076329601E-5</v>
      </c>
      <c r="E13" s="8">
        <v>1.6776454545445001E-5</v>
      </c>
      <c r="F13" s="8">
        <v>1.85051985191728E-5</v>
      </c>
      <c r="K13" s="10" t="s">
        <v>15</v>
      </c>
      <c r="L13" s="12">
        <v>84.821971042933598</v>
      </c>
      <c r="M13" s="12">
        <f t="shared" si="0"/>
        <v>15.178028957066402</v>
      </c>
      <c r="N13" s="13">
        <v>100</v>
      </c>
      <c r="O13" s="13">
        <f t="shared" si="1"/>
        <v>11.008508006959715</v>
      </c>
      <c r="P13" s="12">
        <v>95.830479049893313</v>
      </c>
      <c r="Q13" s="12">
        <f t="shared" si="2"/>
        <v>8.6682275575200123</v>
      </c>
      <c r="R13" s="12">
        <v>93.49019860045361</v>
      </c>
      <c r="S13" s="10"/>
      <c r="T13" s="10"/>
      <c r="U13" s="10"/>
    </row>
    <row r="14" spans="1:21" ht="14.4" x14ac:dyDescent="0.3">
      <c r="A14" s="8" t="s">
        <v>47</v>
      </c>
      <c r="B14" s="8" t="s">
        <v>28</v>
      </c>
      <c r="C14" s="8">
        <v>0.20019045607236299</v>
      </c>
      <c r="D14" s="8">
        <v>0.22242682445284401</v>
      </c>
      <c r="E14" s="8">
        <v>0.21107613368537001</v>
      </c>
      <c r="F14" s="8">
        <v>0.21660520918951401</v>
      </c>
      <c r="K14" s="10" t="s">
        <v>56</v>
      </c>
      <c r="L14" s="12">
        <v>78.278179816095161</v>
      </c>
      <c r="M14" s="12">
        <f t="shared" si="0"/>
        <v>21.721820183904839</v>
      </c>
      <c r="N14" s="13">
        <v>100</v>
      </c>
      <c r="O14" s="13">
        <f t="shared" si="1"/>
        <v>12.145738279601588</v>
      </c>
      <c r="P14" s="12">
        <v>90.423918095696749</v>
      </c>
      <c r="Q14" s="12">
        <f t="shared" si="2"/>
        <v>15.88470107735381</v>
      </c>
      <c r="R14" s="12">
        <v>94.162880893448971</v>
      </c>
      <c r="S14" s="10"/>
      <c r="T14" s="10"/>
      <c r="U14" s="10"/>
    </row>
    <row r="15" spans="1:21" ht="14.4" x14ac:dyDescent="0.3">
      <c r="A15" s="8" t="s">
        <v>45</v>
      </c>
      <c r="B15" s="8" t="s">
        <v>34</v>
      </c>
      <c r="C15" s="8">
        <v>4.0664671541080798E-2</v>
      </c>
      <c r="D15" s="8">
        <v>5.3584914588599E-2</v>
      </c>
      <c r="E15" s="8">
        <v>4.79921568260398E-2</v>
      </c>
      <c r="F15" s="8">
        <v>4.9862973095612502E-2</v>
      </c>
      <c r="K15" s="10" t="s">
        <v>26</v>
      </c>
      <c r="L15" s="12">
        <v>92.626526178155814</v>
      </c>
      <c r="M15" s="12">
        <f t="shared" si="0"/>
        <v>7.3734738218441862</v>
      </c>
      <c r="N15" s="13">
        <v>100</v>
      </c>
      <c r="O15" s="13">
        <f t="shared" si="1"/>
        <v>3.4421738750406092</v>
      </c>
      <c r="P15" s="12">
        <v>96.068700053196423</v>
      </c>
      <c r="Q15" s="12">
        <f t="shared" si="2"/>
        <v>6.5464974511524616</v>
      </c>
      <c r="R15" s="14">
        <v>99.173023629308275</v>
      </c>
      <c r="S15" s="10"/>
      <c r="T15" s="10"/>
      <c r="U15" s="10"/>
    </row>
    <row r="16" spans="1:21" ht="14.4" x14ac:dyDescent="0.3">
      <c r="A16" s="8" t="s">
        <v>15</v>
      </c>
      <c r="B16" s="8" t="s">
        <v>65</v>
      </c>
      <c r="C16" s="8">
        <v>2.6765887657314101E-2</v>
      </c>
      <c r="D16" s="8">
        <v>3.1555371006135001E-2</v>
      </c>
      <c r="E16" s="8">
        <v>3.0239663201150301E-2</v>
      </c>
      <c r="F16" s="8">
        <v>2.9501179022745599E-2</v>
      </c>
      <c r="K16" s="10" t="s">
        <v>31</v>
      </c>
      <c r="L16" s="12">
        <v>88.623983439127798</v>
      </c>
      <c r="M16" s="12">
        <f t="shared" si="0"/>
        <v>11.376016560872202</v>
      </c>
      <c r="N16" s="13">
        <v>100</v>
      </c>
      <c r="O16" s="13">
        <f t="shared" si="1"/>
        <v>5.8759175289951031</v>
      </c>
      <c r="P16" s="12">
        <v>94.499900968122901</v>
      </c>
      <c r="Q16" s="12">
        <f t="shared" si="2"/>
        <v>8.1103671106466351</v>
      </c>
      <c r="R16" s="12">
        <v>96.734350549774433</v>
      </c>
      <c r="S16" s="10"/>
      <c r="T16" s="10"/>
      <c r="U16" s="10"/>
    </row>
    <row r="17" spans="1:21" ht="14.4" x14ac:dyDescent="0.3">
      <c r="A17" s="8" t="s">
        <v>56</v>
      </c>
      <c r="B17" s="8" t="s">
        <v>21</v>
      </c>
      <c r="C17" s="8">
        <v>71.598393663567194</v>
      </c>
      <c r="D17" s="8">
        <v>91.4666051660612</v>
      </c>
      <c r="E17" s="8">
        <v>82.707688140273504</v>
      </c>
      <c r="F17" s="8">
        <v>86.127590479799395</v>
      </c>
      <c r="K17" s="10" t="s">
        <v>64</v>
      </c>
      <c r="L17" s="12">
        <v>99.587322854722672</v>
      </c>
      <c r="M17" s="12">
        <f t="shared" si="0"/>
        <v>-5.3453598278192516</v>
      </c>
      <c r="N17" s="12">
        <v>94.24196302690342</v>
      </c>
      <c r="O17" s="13">
        <f t="shared" si="1"/>
        <v>-5.4570760802634197</v>
      </c>
      <c r="P17" s="12">
        <v>94.130246774459252</v>
      </c>
      <c r="Q17" s="12">
        <f t="shared" si="2"/>
        <v>0.41267714527732835</v>
      </c>
      <c r="R17" s="13">
        <v>100</v>
      </c>
      <c r="S17" s="10"/>
      <c r="T17" s="10"/>
      <c r="U17" s="10"/>
    </row>
    <row r="18" spans="1:21" ht="14.4" x14ac:dyDescent="0.3">
      <c r="A18" s="8" t="s">
        <v>26</v>
      </c>
      <c r="B18" s="8" t="s">
        <v>3</v>
      </c>
      <c r="C18" s="8">
        <v>0.13730739114617599</v>
      </c>
      <c r="D18" s="8">
        <v>0.14823765589792501</v>
      </c>
      <c r="E18" s="8">
        <v>0.142409989010467</v>
      </c>
      <c r="F18" s="8">
        <v>0.147011765511181</v>
      </c>
      <c r="K18" s="10" t="s">
        <v>6</v>
      </c>
      <c r="L18" s="12">
        <v>89.280353471985734</v>
      </c>
      <c r="M18" s="12">
        <f t="shared" si="0"/>
        <v>10.719646528014266</v>
      </c>
      <c r="N18" s="13">
        <v>100</v>
      </c>
      <c r="O18" s="13">
        <f t="shared" si="1"/>
        <v>4.9577307898150309</v>
      </c>
      <c r="P18" s="14">
        <v>94.238084261800765</v>
      </c>
      <c r="Q18" s="12">
        <f t="shared" si="2"/>
        <v>9.9534890638547751</v>
      </c>
      <c r="R18" s="12">
        <v>99.233842535840509</v>
      </c>
      <c r="S18" s="10"/>
      <c r="T18" s="10"/>
      <c r="U18" s="10"/>
    </row>
    <row r="19" spans="1:21" ht="14.4" x14ac:dyDescent="0.3">
      <c r="A19" s="8" t="s">
        <v>31</v>
      </c>
      <c r="B19" s="8" t="s">
        <v>5</v>
      </c>
      <c r="C19" s="8">
        <v>8.9488247668250503E-2</v>
      </c>
      <c r="D19" s="8">
        <v>0.10097520354602001</v>
      </c>
      <c r="E19" s="8">
        <v>9.5421467353349596E-2</v>
      </c>
      <c r="F19" s="8">
        <v>9.7677707366555497E-2</v>
      </c>
      <c r="K19" s="10" t="s">
        <v>14</v>
      </c>
      <c r="L19" s="12">
        <v>89.420294662232195</v>
      </c>
      <c r="M19" s="12">
        <f t="shared" si="0"/>
        <v>10.579705337767805</v>
      </c>
      <c r="N19" s="13">
        <v>100</v>
      </c>
      <c r="O19" s="13">
        <f t="shared" si="1"/>
        <v>4.9349613161091384</v>
      </c>
      <c r="P19" s="12">
        <v>94.355255978341333</v>
      </c>
      <c r="Q19" s="12">
        <f t="shared" si="2"/>
        <v>9.9999106467893029</v>
      </c>
      <c r="R19" s="12">
        <v>99.420205309021497</v>
      </c>
      <c r="S19" s="10"/>
      <c r="T19" s="10"/>
      <c r="U19" s="10"/>
    </row>
    <row r="20" spans="1:21" ht="14.4" x14ac:dyDescent="0.3">
      <c r="A20" s="8" t="s">
        <v>64</v>
      </c>
      <c r="B20" s="8" t="s">
        <v>21</v>
      </c>
      <c r="C20" s="8">
        <v>1.1906420408618701E-2</v>
      </c>
      <c r="D20" s="8">
        <v>1.1267342064900199E-2</v>
      </c>
      <c r="E20" s="8">
        <v>1.12539855388892E-2</v>
      </c>
      <c r="F20" s="8">
        <v>1.1955759093943899E-2</v>
      </c>
      <c r="K20" s="10" t="s">
        <v>50</v>
      </c>
      <c r="L20" s="13">
        <v>100</v>
      </c>
      <c r="M20" s="12">
        <f t="shared" si="0"/>
        <v>-24.81393256190843</v>
      </c>
      <c r="N20" s="14">
        <v>75.18606743809157</v>
      </c>
      <c r="O20" s="13">
        <f t="shared" si="1"/>
        <v>-18.723764547681597</v>
      </c>
      <c r="P20" s="12">
        <v>81.276235452318403</v>
      </c>
      <c r="Q20" s="12">
        <f t="shared" si="2"/>
        <v>-9.2599109025916846</v>
      </c>
      <c r="R20" s="17">
        <v>90.740089097408315</v>
      </c>
      <c r="S20" s="10"/>
      <c r="T20" s="10"/>
      <c r="U20" s="10"/>
    </row>
    <row r="21" spans="1:21" ht="14.4" x14ac:dyDescent="0.3">
      <c r="A21" s="8" t="s">
        <v>6</v>
      </c>
      <c r="B21" s="8" t="s">
        <v>21</v>
      </c>
      <c r="C21" s="8">
        <v>2.2278047864841901</v>
      </c>
      <c r="D21" s="8">
        <v>2.4952911809239602</v>
      </c>
      <c r="E21" s="8">
        <v>2.3515146056564</v>
      </c>
      <c r="F21" s="8">
        <v>2.47617332128879</v>
      </c>
      <c r="K21" s="10" t="s">
        <v>7</v>
      </c>
      <c r="L21" s="13">
        <v>100</v>
      </c>
      <c r="M21" s="12">
        <f t="shared" si="0"/>
        <v>-24.246041889073496</v>
      </c>
      <c r="N21" s="12">
        <v>75.753958110926504</v>
      </c>
      <c r="O21" s="13">
        <f t="shared" si="1"/>
        <v>-18.315146358440302</v>
      </c>
      <c r="P21" s="12">
        <v>81.684853641559698</v>
      </c>
      <c r="Q21" s="12">
        <f t="shared" si="2"/>
        <v>-9.0051763259923376</v>
      </c>
      <c r="R21" s="12">
        <v>90.994823674007662</v>
      </c>
      <c r="S21" s="10"/>
      <c r="T21" s="10"/>
      <c r="U21" s="10"/>
    </row>
    <row r="22" spans="1:21" ht="14.4" x14ac:dyDescent="0.3">
      <c r="A22" s="8" t="s">
        <v>14</v>
      </c>
      <c r="B22" s="8" t="s">
        <v>21</v>
      </c>
      <c r="C22" s="8">
        <v>2.0825554250063099</v>
      </c>
      <c r="D22" s="8">
        <v>2.3289516466846401</v>
      </c>
      <c r="E22" s="8">
        <v>2.19748828784109</v>
      </c>
      <c r="F22" s="8">
        <v>2.31544850868171</v>
      </c>
      <c r="K22" s="10" t="s">
        <v>24</v>
      </c>
      <c r="L22" s="12">
        <v>96.323129273472503</v>
      </c>
      <c r="M22" s="12">
        <f t="shared" si="0"/>
        <v>0.30819571029428516</v>
      </c>
      <c r="N22" s="12">
        <v>96.631324983766788</v>
      </c>
      <c r="O22" s="13">
        <f t="shared" si="1"/>
        <v>-2.0679983728358877</v>
      </c>
      <c r="P22" s="12">
        <v>94.255130900636615</v>
      </c>
      <c r="Q22" s="12">
        <f t="shared" si="2"/>
        <v>3.6768707265274969</v>
      </c>
      <c r="R22" s="13">
        <v>100</v>
      </c>
      <c r="S22" s="10"/>
      <c r="T22" s="10"/>
      <c r="U22" s="10"/>
    </row>
    <row r="23" spans="1:21" ht="14.4" x14ac:dyDescent="0.3">
      <c r="A23" s="8" t="s">
        <v>50</v>
      </c>
      <c r="B23" s="8" t="s">
        <v>68</v>
      </c>
      <c r="C23" s="8">
        <v>131.255410837374</v>
      </c>
      <c r="D23" s="8">
        <v>98.6857817083323</v>
      </c>
      <c r="E23" s="8">
        <v>106.67945675609199</v>
      </c>
      <c r="F23" s="8">
        <v>119.101276739003</v>
      </c>
      <c r="K23" s="10" t="s">
        <v>46</v>
      </c>
      <c r="L23" s="13">
        <v>100</v>
      </c>
      <c r="M23" s="12">
        <f t="shared" si="0"/>
        <v>-8.1932010471905414</v>
      </c>
      <c r="N23" s="12">
        <v>91.806798952809459</v>
      </c>
      <c r="O23" s="13">
        <f t="shared" si="1"/>
        <v>-7.1714653512914879</v>
      </c>
      <c r="P23" s="12">
        <v>92.828534648708512</v>
      </c>
      <c r="Q23" s="12">
        <f t="shared" si="2"/>
        <v>-0.90828775577985255</v>
      </c>
      <c r="R23" s="12">
        <v>99.091712244220147</v>
      </c>
      <c r="S23" s="10"/>
      <c r="T23" s="10"/>
      <c r="U23" s="10"/>
    </row>
    <row r="24" spans="1:21" ht="14.4" x14ac:dyDescent="0.3">
      <c r="A24" s="8" t="s">
        <v>7</v>
      </c>
      <c r="B24" s="8" t="s">
        <v>10</v>
      </c>
      <c r="C24" s="8">
        <v>53.348240144719398</v>
      </c>
      <c r="D24" s="8">
        <v>40.413403492147197</v>
      </c>
      <c r="E24" s="8">
        <v>43.577431882561797</v>
      </c>
      <c r="F24" s="8">
        <v>48.544137052873602</v>
      </c>
      <c r="K24" s="10" t="s">
        <v>44</v>
      </c>
      <c r="L24" s="13">
        <v>100</v>
      </c>
      <c r="M24" s="12">
        <f t="shared" si="0"/>
        <v>-22.221958318142228</v>
      </c>
      <c r="N24" s="14">
        <v>77.778041681857772</v>
      </c>
      <c r="O24" s="13">
        <f t="shared" si="1"/>
        <v>-16.859747896382842</v>
      </c>
      <c r="P24" s="12">
        <v>83.140252103617158</v>
      </c>
      <c r="Q24" s="12">
        <f t="shared" si="2"/>
        <v>-7.9806521823278018</v>
      </c>
      <c r="R24" s="12">
        <v>92.019347817672198</v>
      </c>
      <c r="S24" s="10"/>
      <c r="T24" s="10"/>
      <c r="U24" s="10"/>
    </row>
    <row r="25" spans="1:21" ht="14.4" x14ac:dyDescent="0.3">
      <c r="A25" s="8" t="s">
        <v>24</v>
      </c>
      <c r="B25" s="8" t="s">
        <v>10</v>
      </c>
      <c r="C25" s="8">
        <v>0.88774909065181695</v>
      </c>
      <c r="D25" s="8">
        <v>0.89058953472397495</v>
      </c>
      <c r="E25" s="8">
        <v>0.86868966340104403</v>
      </c>
      <c r="F25" s="8">
        <v>0.92163647230707602</v>
      </c>
      <c r="K25" s="10" t="s">
        <v>32</v>
      </c>
      <c r="L25" s="12">
        <v>83.356367030847409</v>
      </c>
      <c r="M25" s="12">
        <f t="shared" si="0"/>
        <v>16.643632969152591</v>
      </c>
      <c r="N25" s="13">
        <v>100</v>
      </c>
      <c r="O25" s="13">
        <f t="shared" si="1"/>
        <v>11.233784570230256</v>
      </c>
      <c r="P25" s="12">
        <v>94.590151601077665</v>
      </c>
      <c r="Q25" s="12">
        <f t="shared" si="2"/>
        <v>11.321835806000493</v>
      </c>
      <c r="R25" s="12">
        <v>94.678202836847902</v>
      </c>
      <c r="S25" s="10"/>
      <c r="T25" s="10"/>
      <c r="U25" s="10"/>
    </row>
    <row r="26" spans="1:21" ht="14.4" x14ac:dyDescent="0.3">
      <c r="A26" s="8" t="s">
        <v>46</v>
      </c>
      <c r="B26" s="8" t="s">
        <v>33</v>
      </c>
      <c r="C26" s="8">
        <v>9.8996320767277702E-3</v>
      </c>
      <c r="D26" s="8">
        <v>9.0885353177493008E-3</v>
      </c>
      <c r="E26" s="8">
        <v>9.1896833924399006E-3</v>
      </c>
      <c r="F26" s="8">
        <v>9.8097149307075898E-3</v>
      </c>
      <c r="K26" s="10" t="s">
        <v>53</v>
      </c>
      <c r="L26" s="12">
        <v>88.50066031693909</v>
      </c>
      <c r="M26" s="12">
        <f t="shared" si="0"/>
        <v>11.49933968306091</v>
      </c>
      <c r="N26" s="13">
        <v>100</v>
      </c>
      <c r="O26" s="13">
        <f t="shared" si="1"/>
        <v>6.0579164583876945</v>
      </c>
      <c r="P26" s="12">
        <v>94.558576775326785</v>
      </c>
      <c r="Q26" s="12">
        <f t="shared" si="2"/>
        <v>8.1437256984871027</v>
      </c>
      <c r="R26" s="12">
        <v>96.644386015426193</v>
      </c>
      <c r="S26" s="10"/>
      <c r="T26" s="10"/>
      <c r="U26" s="10"/>
    </row>
    <row r="27" spans="1:21" ht="14.4" x14ac:dyDescent="0.3">
      <c r="A27" s="8" t="s">
        <v>44</v>
      </c>
      <c r="B27" s="8" t="s">
        <v>73</v>
      </c>
      <c r="C27" s="8">
        <v>2.2678328954529201</v>
      </c>
      <c r="D27" s="8">
        <v>1.7638760147002499</v>
      </c>
      <c r="E27" s="8">
        <v>1.8854819865683099</v>
      </c>
      <c r="F27" s="8">
        <v>2.0868450399904002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ht="14.4" x14ac:dyDescent="0.3">
      <c r="A28" s="8" t="s">
        <v>32</v>
      </c>
      <c r="B28" s="8" t="s">
        <v>29</v>
      </c>
      <c r="C28" s="8">
        <v>13.7301630290148</v>
      </c>
      <c r="D28" s="8">
        <v>16.471642800763799</v>
      </c>
      <c r="E28" s="8">
        <v>15.580551896430499</v>
      </c>
      <c r="F28" s="8">
        <v>15.5950553814682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x14ac:dyDescent="0.25">
      <c r="A29" s="8" t="s">
        <v>53</v>
      </c>
      <c r="B29" s="8" t="s">
        <v>52</v>
      </c>
      <c r="C29" s="8">
        <v>7.18935445482317</v>
      </c>
      <c r="D29" s="8">
        <v>8.1235037445784197</v>
      </c>
      <c r="E29" s="8">
        <v>7.6814695251637302</v>
      </c>
      <c r="F29" s="8">
        <v>7.8509103168879699</v>
      </c>
    </row>
    <row r="34" spans="1:26" x14ac:dyDescent="0.25">
      <c r="Q34" s="8" t="s">
        <v>148</v>
      </c>
      <c r="R34" s="18" t="s">
        <v>166</v>
      </c>
      <c r="S34" s="18" t="s">
        <v>167</v>
      </c>
      <c r="T34" s="18" t="s">
        <v>168</v>
      </c>
      <c r="W34" s="8" t="s">
        <v>148</v>
      </c>
      <c r="X34" s="18" t="s">
        <v>166</v>
      </c>
      <c r="Y34" s="18" t="s">
        <v>167</v>
      </c>
      <c r="Z34" s="18" t="s">
        <v>168</v>
      </c>
    </row>
    <row r="35" spans="1:26" ht="14.4" x14ac:dyDescent="0.3">
      <c r="A35" s="10" t="s">
        <v>135</v>
      </c>
      <c r="B35" s="10"/>
      <c r="C35" s="10"/>
      <c r="D35" s="10"/>
      <c r="E35" s="10"/>
      <c r="F35" s="10"/>
      <c r="G35" s="10"/>
      <c r="H35" s="10"/>
      <c r="I35" s="10"/>
      <c r="Q35" s="8" t="s">
        <v>18</v>
      </c>
      <c r="R35" s="18">
        <v>12.218512859434057</v>
      </c>
      <c r="S35" s="18">
        <v>6.2076644565762393</v>
      </c>
      <c r="T35" s="18">
        <v>8.126774731576532</v>
      </c>
      <c r="W35" s="8" t="s">
        <v>18</v>
      </c>
      <c r="X35" s="18">
        <f>R35+100</f>
        <v>112.21851285943406</v>
      </c>
      <c r="Y35" s="18">
        <f>S35+100</f>
        <v>106.20766445657624</v>
      </c>
      <c r="Z35" s="18">
        <f>T35+100</f>
        <v>108.12677473157653</v>
      </c>
    </row>
    <row r="36" spans="1:26" ht="14.4" x14ac:dyDescent="0.3">
      <c r="A36" s="10" t="s">
        <v>198</v>
      </c>
      <c r="B36" s="10"/>
      <c r="C36" s="10"/>
      <c r="D36" s="10"/>
      <c r="E36" s="10"/>
      <c r="F36" s="10"/>
      <c r="G36" s="10"/>
      <c r="H36" s="10"/>
      <c r="I36" s="10"/>
      <c r="Q36" s="8" t="s">
        <v>66</v>
      </c>
      <c r="R36" s="18">
        <v>-21.228198489404988</v>
      </c>
      <c r="S36" s="18">
        <v>-16.209604070242221</v>
      </c>
      <c r="T36" s="18">
        <v>-7.5753517240475929</v>
      </c>
      <c r="W36" s="8" t="s">
        <v>66</v>
      </c>
      <c r="X36" s="18">
        <f t="shared" ref="X36:Z52" si="3">R36+100</f>
        <v>78.771801510595012</v>
      </c>
      <c r="Y36" s="18">
        <f t="shared" si="3"/>
        <v>83.790395929757779</v>
      </c>
      <c r="Z36" s="18">
        <f t="shared" si="3"/>
        <v>92.424648275952407</v>
      </c>
    </row>
    <row r="37" spans="1:26" ht="14.4" x14ac:dyDescent="0.3">
      <c r="A37" s="10" t="s">
        <v>189</v>
      </c>
      <c r="B37" s="10"/>
      <c r="C37" s="10"/>
      <c r="D37" s="10"/>
      <c r="E37" s="10"/>
      <c r="F37" s="10"/>
      <c r="G37" s="10"/>
      <c r="H37" s="10"/>
      <c r="I37" s="10"/>
      <c r="Q37" s="8" t="s">
        <v>47</v>
      </c>
      <c r="R37" s="18">
        <v>9.9971612844720426</v>
      </c>
      <c r="S37" s="18">
        <v>4.8940489258814637</v>
      </c>
      <c r="T37" s="18">
        <v>7.3798442060801364</v>
      </c>
      <c r="W37" s="8" t="s">
        <v>47</v>
      </c>
      <c r="X37" s="18">
        <f t="shared" si="3"/>
        <v>109.99716128447204</v>
      </c>
      <c r="Y37" s="18">
        <f t="shared" si="3"/>
        <v>104.89404892588146</v>
      </c>
      <c r="Z37" s="18">
        <f t="shared" si="3"/>
        <v>107.37984420608014</v>
      </c>
    </row>
    <row r="38" spans="1:26" ht="14.4" x14ac:dyDescent="0.3">
      <c r="A38" s="16" t="s">
        <v>170</v>
      </c>
      <c r="B38" s="16"/>
      <c r="C38" s="16"/>
      <c r="D38" s="16"/>
      <c r="E38" s="16"/>
      <c r="F38" s="16"/>
      <c r="G38" s="16"/>
      <c r="H38" s="10"/>
      <c r="I38" s="10"/>
      <c r="Q38" s="8" t="s">
        <v>45</v>
      </c>
      <c r="R38" s="18">
        <v>24.111717162776287</v>
      </c>
      <c r="S38" s="18">
        <v>13.674530119561027</v>
      </c>
      <c r="T38" s="18">
        <v>17.16584159021653</v>
      </c>
      <c r="W38" s="8" t="s">
        <v>45</v>
      </c>
      <c r="X38" s="18">
        <f t="shared" si="3"/>
        <v>124.11171716277629</v>
      </c>
      <c r="Y38" s="18">
        <f t="shared" si="3"/>
        <v>113.67453011956103</v>
      </c>
      <c r="Z38" s="18">
        <f t="shared" si="3"/>
        <v>117.16584159021653</v>
      </c>
    </row>
    <row r="39" spans="1:26" ht="14.4" x14ac:dyDescent="0.3">
      <c r="A39" s="10" t="s">
        <v>171</v>
      </c>
      <c r="B39" s="10"/>
      <c r="C39" s="10"/>
      <c r="D39" s="10"/>
      <c r="E39" s="10"/>
      <c r="F39" s="10"/>
      <c r="G39" s="10"/>
      <c r="H39" s="10"/>
      <c r="I39" s="10"/>
      <c r="Q39" s="8" t="s">
        <v>15</v>
      </c>
      <c r="R39" s="18">
        <v>15.178028957066402</v>
      </c>
      <c r="S39" s="18">
        <v>11.008508006959715</v>
      </c>
      <c r="T39" s="18">
        <v>8.6682275575200123</v>
      </c>
      <c r="W39" s="8" t="s">
        <v>15</v>
      </c>
      <c r="X39" s="18">
        <f t="shared" si="3"/>
        <v>115.1780289570664</v>
      </c>
      <c r="Y39" s="18">
        <f t="shared" si="3"/>
        <v>111.00850800695972</v>
      </c>
      <c r="Z39" s="18">
        <f t="shared" si="3"/>
        <v>108.66822755752001</v>
      </c>
    </row>
    <row r="40" spans="1:26" ht="14.4" x14ac:dyDescent="0.3">
      <c r="A40" s="10"/>
      <c r="B40" s="10"/>
      <c r="C40" s="10"/>
      <c r="D40" s="10"/>
      <c r="E40" s="10"/>
      <c r="F40" s="10"/>
      <c r="G40" s="10"/>
      <c r="H40" s="10"/>
      <c r="I40" s="10"/>
      <c r="Q40" s="8" t="s">
        <v>56</v>
      </c>
      <c r="R40" s="18">
        <v>21.721820183904839</v>
      </c>
      <c r="S40" s="18">
        <v>12.145738279601588</v>
      </c>
      <c r="T40" s="18">
        <v>15.88470107735381</v>
      </c>
      <c r="W40" s="8" t="s">
        <v>56</v>
      </c>
      <c r="X40" s="18">
        <f t="shared" si="3"/>
        <v>121.72182018390484</v>
      </c>
      <c r="Y40" s="18">
        <f t="shared" si="3"/>
        <v>112.14573827960159</v>
      </c>
      <c r="Z40" s="18">
        <f t="shared" si="3"/>
        <v>115.88470107735381</v>
      </c>
    </row>
    <row r="41" spans="1:26" ht="14.4" x14ac:dyDescent="0.3">
      <c r="A41" s="11"/>
      <c r="B41" s="11"/>
      <c r="C41" s="11"/>
      <c r="D41" s="11"/>
      <c r="E41" s="11"/>
      <c r="F41" s="11"/>
      <c r="G41" s="11"/>
      <c r="H41" s="11"/>
      <c r="I41" s="11"/>
      <c r="Q41" s="8" t="s">
        <v>26</v>
      </c>
      <c r="R41" s="18">
        <v>7.3734738218441862</v>
      </c>
      <c r="S41" s="18">
        <v>3.4421738750406092</v>
      </c>
      <c r="T41" s="18">
        <v>6.5464974511524616</v>
      </c>
      <c r="W41" s="8" t="s">
        <v>26</v>
      </c>
      <c r="X41" s="18">
        <f t="shared" si="3"/>
        <v>107.37347382184419</v>
      </c>
      <c r="Y41" s="18">
        <f t="shared" si="3"/>
        <v>103.44217387504061</v>
      </c>
      <c r="Z41" s="18">
        <f t="shared" si="3"/>
        <v>106.54649745115246</v>
      </c>
    </row>
    <row r="42" spans="1:26" ht="14.4" x14ac:dyDescent="0.3">
      <c r="A42" s="11" t="s">
        <v>148</v>
      </c>
      <c r="B42" s="11" t="s">
        <v>194</v>
      </c>
      <c r="C42" s="11" t="s">
        <v>195</v>
      </c>
      <c r="D42" s="11" t="s">
        <v>196</v>
      </c>
      <c r="E42" s="11" t="s">
        <v>197</v>
      </c>
      <c r="F42" s="11"/>
      <c r="G42" s="11"/>
      <c r="H42" s="11"/>
      <c r="I42" s="11"/>
      <c r="Q42" s="8" t="s">
        <v>31</v>
      </c>
      <c r="R42" s="18">
        <v>11.376016560872202</v>
      </c>
      <c r="S42" s="18">
        <v>5.8759175289951031</v>
      </c>
      <c r="T42" s="18">
        <v>8.1103671106466351</v>
      </c>
      <c r="W42" s="8" t="s">
        <v>31</v>
      </c>
      <c r="X42" s="18">
        <f t="shared" si="3"/>
        <v>111.3760165608722</v>
      </c>
      <c r="Y42" s="18">
        <f t="shared" si="3"/>
        <v>105.8759175289951</v>
      </c>
      <c r="Z42" s="18">
        <f t="shared" si="3"/>
        <v>108.11036711064664</v>
      </c>
    </row>
    <row r="43" spans="1:26" ht="14.4" x14ac:dyDescent="0.3">
      <c r="A43" s="10" t="s">
        <v>18</v>
      </c>
      <c r="B43" s="12">
        <v>2.7170234725088986E-3</v>
      </c>
      <c r="C43" s="14">
        <v>3.0952123972997625E-3</v>
      </c>
      <c r="D43" s="12">
        <v>2.9091638723516169E-3</v>
      </c>
      <c r="E43" s="12">
        <v>2.9685644115012757E-3</v>
      </c>
      <c r="F43" s="10"/>
      <c r="G43" s="10"/>
      <c r="H43" s="10"/>
      <c r="I43" s="10"/>
      <c r="Q43" s="8" t="s">
        <v>64</v>
      </c>
      <c r="R43" s="18">
        <v>-5.3453598278192516</v>
      </c>
      <c r="S43" s="18">
        <v>-5.4570760802634197</v>
      </c>
      <c r="T43" s="18">
        <v>0.41267714527732835</v>
      </c>
      <c r="W43" s="8" t="s">
        <v>64</v>
      </c>
      <c r="X43" s="18">
        <f t="shared" si="3"/>
        <v>94.654640172180748</v>
      </c>
      <c r="Y43" s="18">
        <f t="shared" si="3"/>
        <v>94.54292391973658</v>
      </c>
      <c r="Z43" s="18">
        <f t="shared" si="3"/>
        <v>100.41267714527733</v>
      </c>
    </row>
    <row r="44" spans="1:26" ht="14.4" x14ac:dyDescent="0.3">
      <c r="A44" s="10" t="s">
        <v>66</v>
      </c>
      <c r="B44" s="12">
        <v>9.0899562880894123E-4</v>
      </c>
      <c r="C44" s="12">
        <v>7.1603223246536479E-4</v>
      </c>
      <c r="D44" s="12">
        <v>7.6165103636320261E-4</v>
      </c>
      <c r="E44" s="12">
        <v>8.4013601277044628E-4</v>
      </c>
      <c r="F44" s="10"/>
      <c r="G44" s="10"/>
      <c r="H44" s="10"/>
      <c r="I44" s="10"/>
      <c r="Q44" s="8" t="s">
        <v>6</v>
      </c>
      <c r="R44" s="18">
        <v>10.719646528014266</v>
      </c>
      <c r="S44" s="18">
        <v>4.9577307898150309</v>
      </c>
      <c r="T44" s="18">
        <v>9.9534890638547751</v>
      </c>
      <c r="W44" s="8" t="s">
        <v>6</v>
      </c>
      <c r="X44" s="18">
        <f t="shared" si="3"/>
        <v>110.71964652801427</v>
      </c>
      <c r="Y44" s="18">
        <f t="shared" si="3"/>
        <v>104.95773078981503</v>
      </c>
      <c r="Z44" s="18">
        <f t="shared" si="3"/>
        <v>109.95348906385478</v>
      </c>
    </row>
    <row r="45" spans="1:26" ht="14.4" x14ac:dyDescent="0.3">
      <c r="A45" s="10" t="s">
        <v>47</v>
      </c>
      <c r="B45" s="12">
        <v>5.8255422717057555E-3</v>
      </c>
      <c r="C45" s="12">
        <v>6.4726205915777097E-3</v>
      </c>
      <c r="D45" s="12">
        <v>6.1423154902442633E-3</v>
      </c>
      <c r="E45" s="12">
        <v>6.3032115874148888E-3</v>
      </c>
      <c r="F45" s="10"/>
      <c r="G45" s="10"/>
      <c r="H45" s="10"/>
      <c r="I45" s="10"/>
      <c r="Q45" s="8" t="s">
        <v>14</v>
      </c>
      <c r="R45" s="18">
        <v>10.579705337767805</v>
      </c>
      <c r="S45" s="18">
        <v>4.9349613161091384</v>
      </c>
      <c r="T45" s="18">
        <v>9.9999106467893029</v>
      </c>
      <c r="W45" s="8" t="s">
        <v>14</v>
      </c>
      <c r="X45" s="18">
        <f t="shared" si="3"/>
        <v>110.57970533776781</v>
      </c>
      <c r="Y45" s="18">
        <f t="shared" si="3"/>
        <v>104.93496131610914</v>
      </c>
      <c r="Z45" s="18">
        <f t="shared" si="3"/>
        <v>109.9999106467893</v>
      </c>
    </row>
    <row r="46" spans="1:26" ht="14.4" x14ac:dyDescent="0.3">
      <c r="A46" s="10" t="s">
        <v>45</v>
      </c>
      <c r="B46" s="14">
        <v>9.8001858414004578E-2</v>
      </c>
      <c r="C46" s="12">
        <v>0.12913964415852353</v>
      </c>
      <c r="D46" s="12">
        <v>0.11566109795075563</v>
      </c>
      <c r="E46" s="12">
        <v>0.1201697651604263</v>
      </c>
      <c r="F46" s="10"/>
      <c r="G46" s="10"/>
      <c r="H46" s="10"/>
      <c r="I46" s="10"/>
      <c r="Q46" s="8" t="s">
        <v>50</v>
      </c>
      <c r="R46" s="18">
        <v>-24.81393256190843</v>
      </c>
      <c r="S46" s="18">
        <v>-18.723764547681597</v>
      </c>
      <c r="T46" s="18">
        <v>-9.2599109025916846</v>
      </c>
      <c r="W46" s="8" t="s">
        <v>50</v>
      </c>
      <c r="X46" s="18">
        <f t="shared" si="3"/>
        <v>75.18606743809157</v>
      </c>
      <c r="Y46" s="18">
        <f t="shared" si="3"/>
        <v>81.276235452318403</v>
      </c>
      <c r="Z46" s="18">
        <f t="shared" si="3"/>
        <v>90.740089097408315</v>
      </c>
    </row>
    <row r="47" spans="1:26" ht="14.4" x14ac:dyDescent="0.3">
      <c r="A47" s="10" t="s">
        <v>15</v>
      </c>
      <c r="B47" s="12">
        <v>2.6444697005426326E-3</v>
      </c>
      <c r="C47" s="12">
        <v>3.1176706554061303E-3</v>
      </c>
      <c r="D47" s="12">
        <v>2.9876787242736512E-3</v>
      </c>
      <c r="E47" s="12">
        <v>2.9147164874472669E-3</v>
      </c>
      <c r="F47" s="10"/>
      <c r="G47" s="10"/>
      <c r="H47" s="10"/>
      <c r="I47" s="10"/>
      <c r="Q47" s="8" t="s">
        <v>7</v>
      </c>
      <c r="R47" s="18">
        <v>-24.246041889073496</v>
      </c>
      <c r="S47" s="18">
        <v>-18.315146358440302</v>
      </c>
      <c r="T47" s="18">
        <v>-9.0051763259923376</v>
      </c>
      <c r="W47" s="8" t="s">
        <v>7</v>
      </c>
      <c r="X47" s="18">
        <f t="shared" si="3"/>
        <v>75.753958110926504</v>
      </c>
      <c r="Y47" s="18">
        <f t="shared" si="3"/>
        <v>81.684853641559698</v>
      </c>
      <c r="Z47" s="18">
        <f t="shared" si="3"/>
        <v>90.994823674007662</v>
      </c>
    </row>
    <row r="48" spans="1:26" ht="14.4" x14ac:dyDescent="0.3">
      <c r="A48" s="10" t="s">
        <v>56</v>
      </c>
      <c r="B48" s="12">
        <v>0.11384144592507178</v>
      </c>
      <c r="C48" s="12">
        <v>0.1454319022140374</v>
      </c>
      <c r="D48" s="12">
        <v>0.13150522414303437</v>
      </c>
      <c r="E48" s="12">
        <v>0.13694286886288132</v>
      </c>
      <c r="F48" s="10"/>
      <c r="G48" s="10"/>
      <c r="H48" s="10"/>
      <c r="I48" s="10"/>
      <c r="Q48" s="8" t="s">
        <v>24</v>
      </c>
      <c r="R48" s="18">
        <v>0.30819571029428516</v>
      </c>
      <c r="S48" s="18">
        <v>-2.0679983728358877</v>
      </c>
      <c r="T48" s="18">
        <v>3.6768707265274969</v>
      </c>
      <c r="W48" s="8" t="s">
        <v>24</v>
      </c>
      <c r="X48" s="18">
        <f t="shared" si="3"/>
        <v>100.30819571029429</v>
      </c>
      <c r="Y48" s="18">
        <f t="shared" si="3"/>
        <v>97.932001627164112</v>
      </c>
      <c r="Z48" s="18">
        <f t="shared" si="3"/>
        <v>103.6768707265275</v>
      </c>
    </row>
    <row r="49" spans="1:26" ht="14.4" x14ac:dyDescent="0.3">
      <c r="A49" s="10" t="s">
        <v>26</v>
      </c>
      <c r="B49" s="12">
        <v>2.4166100841727066E-3</v>
      </c>
      <c r="C49" s="12">
        <v>2.6089827438034664E-3</v>
      </c>
      <c r="D49" s="12">
        <v>2.5064158065842058E-3</v>
      </c>
      <c r="E49" s="12">
        <v>2.5874070729967921E-3</v>
      </c>
      <c r="F49" s="10"/>
      <c r="G49" s="10"/>
      <c r="H49" s="10"/>
      <c r="I49" s="10"/>
      <c r="Q49" s="8" t="s">
        <v>46</v>
      </c>
      <c r="R49" s="18">
        <v>-8.1932010471905414</v>
      </c>
      <c r="S49" s="18">
        <v>-7.1714653512914879</v>
      </c>
      <c r="T49" s="18">
        <v>-0.90828775577985255</v>
      </c>
      <c r="W49" s="8" t="s">
        <v>46</v>
      </c>
      <c r="X49" s="18">
        <f t="shared" si="3"/>
        <v>91.806798952809459</v>
      </c>
      <c r="Y49" s="18">
        <f t="shared" si="3"/>
        <v>92.828534648708512</v>
      </c>
      <c r="Z49" s="18">
        <f t="shared" si="3"/>
        <v>99.091712244220147</v>
      </c>
    </row>
    <row r="50" spans="1:26" ht="14.4" x14ac:dyDescent="0.3">
      <c r="A50" s="10" t="s">
        <v>31</v>
      </c>
      <c r="B50" s="14">
        <v>6.0046614185396306E-3</v>
      </c>
      <c r="C50" s="12">
        <v>6.7754361579379389E-3</v>
      </c>
      <c r="D50" s="12">
        <v>6.4027804594097319E-3</v>
      </c>
      <c r="E50" s="12">
        <v>6.5541741642958871E-3</v>
      </c>
      <c r="F50" s="10"/>
      <c r="G50" s="10"/>
      <c r="H50" s="10"/>
      <c r="I50" s="10"/>
      <c r="Q50" s="8" t="s">
        <v>44</v>
      </c>
      <c r="R50" s="18">
        <v>-22.221958318142228</v>
      </c>
      <c r="S50" s="18">
        <v>-16.859747896382842</v>
      </c>
      <c r="T50" s="18">
        <v>-7.9806521823278018</v>
      </c>
      <c r="W50" s="8" t="s">
        <v>44</v>
      </c>
      <c r="X50" s="18">
        <f t="shared" si="3"/>
        <v>77.778041681857772</v>
      </c>
      <c r="Y50" s="18">
        <f t="shared" si="3"/>
        <v>83.140252103617158</v>
      </c>
      <c r="Z50" s="18">
        <f t="shared" si="3"/>
        <v>92.019347817672198</v>
      </c>
    </row>
    <row r="51" spans="1:26" ht="14.4" x14ac:dyDescent="0.3">
      <c r="A51" s="10" t="s">
        <v>64</v>
      </c>
      <c r="B51" s="12">
        <v>1.4406768694428626E-3</v>
      </c>
      <c r="C51" s="12">
        <v>1.3633483898529229E-3</v>
      </c>
      <c r="D51" s="12">
        <v>1.3617322502055985E-3</v>
      </c>
      <c r="E51" s="12">
        <v>1.4466468503672115E-3</v>
      </c>
      <c r="F51" s="10"/>
      <c r="G51" s="10"/>
      <c r="H51" s="10"/>
      <c r="I51" s="10"/>
      <c r="Q51" s="8" t="s">
        <v>32</v>
      </c>
      <c r="R51" s="18">
        <v>16.643632969152591</v>
      </c>
      <c r="S51" s="18">
        <v>11.233784570230256</v>
      </c>
      <c r="T51" s="18">
        <v>11.321835806000493</v>
      </c>
      <c r="W51" s="8" t="s">
        <v>32</v>
      </c>
      <c r="X51" s="18">
        <f t="shared" si="3"/>
        <v>116.64363296915259</v>
      </c>
      <c r="Y51" s="18">
        <f t="shared" si="3"/>
        <v>111.23378457023026</v>
      </c>
      <c r="Z51" s="18">
        <f t="shared" si="3"/>
        <v>111.32183580600049</v>
      </c>
    </row>
    <row r="52" spans="1:26" ht="14.4" x14ac:dyDescent="0.3">
      <c r="A52" s="10" t="s">
        <v>6</v>
      </c>
      <c r="B52" s="12">
        <v>0.20250745509141249</v>
      </c>
      <c r="C52" s="12">
        <v>0.22682196834598781</v>
      </c>
      <c r="D52" s="12">
        <v>0.2137526776541662</v>
      </c>
      <c r="E52" s="14">
        <v>0.22508415490515132</v>
      </c>
      <c r="F52" s="10"/>
      <c r="G52" s="10"/>
      <c r="H52" s="10"/>
      <c r="I52" s="10"/>
      <c r="Q52" s="8" t="s">
        <v>53</v>
      </c>
      <c r="R52" s="18">
        <v>11.49933968306091</v>
      </c>
      <c r="S52" s="18">
        <v>6.0579164583876945</v>
      </c>
      <c r="T52" s="18">
        <v>8.1437256984871027</v>
      </c>
      <c r="W52" s="8" t="s">
        <v>53</v>
      </c>
      <c r="X52" s="18">
        <f t="shared" si="3"/>
        <v>111.49933968306091</v>
      </c>
      <c r="Y52" s="18">
        <f t="shared" si="3"/>
        <v>106.05791645838769</v>
      </c>
      <c r="Z52" s="18">
        <f t="shared" si="3"/>
        <v>108.1437256984871</v>
      </c>
    </row>
    <row r="53" spans="1:26" ht="14.4" x14ac:dyDescent="0.3">
      <c r="A53" s="10" t="s">
        <v>14</v>
      </c>
      <c r="B53" s="12">
        <v>0.23949387387572654</v>
      </c>
      <c r="C53" s="12">
        <v>0.2678294393687341</v>
      </c>
      <c r="D53" s="12">
        <v>0.25271115310172487</v>
      </c>
      <c r="E53" s="12">
        <v>0.26627657849839542</v>
      </c>
      <c r="F53" s="10"/>
      <c r="G53" s="10"/>
      <c r="H53" s="10"/>
      <c r="I53" s="10"/>
    </row>
    <row r="54" spans="1:26" ht="14.4" x14ac:dyDescent="0.3">
      <c r="A54" s="10" t="s">
        <v>50</v>
      </c>
      <c r="B54" s="14">
        <v>2.1000865733979884E-2</v>
      </c>
      <c r="C54" s="12">
        <v>1.5789725073333198E-2</v>
      </c>
      <c r="D54" s="14">
        <v>1.7068713080974723E-2</v>
      </c>
      <c r="E54" s="14">
        <v>1.9056204278240438E-2</v>
      </c>
      <c r="F54" s="10"/>
      <c r="G54" s="10"/>
      <c r="H54" s="10"/>
      <c r="I54" s="10"/>
    </row>
    <row r="55" spans="1:26" ht="14.4" x14ac:dyDescent="0.3">
      <c r="A55" s="10" t="s">
        <v>7</v>
      </c>
      <c r="B55" s="12">
        <v>1.1789961071982973E-2</v>
      </c>
      <c r="C55" s="12">
        <v>8.9313621717645366E-3</v>
      </c>
      <c r="D55" s="12">
        <v>9.6306124460461724E-3</v>
      </c>
      <c r="E55" s="12">
        <v>1.0728254288685049E-2</v>
      </c>
      <c r="F55" s="10"/>
      <c r="G55" s="10"/>
      <c r="H55" s="10"/>
      <c r="I55" s="10"/>
    </row>
    <row r="56" spans="1:26" ht="14.4" x14ac:dyDescent="0.3">
      <c r="A56" s="10" t="s">
        <v>24</v>
      </c>
      <c r="B56" s="12">
        <v>2.1838627630034694E-3</v>
      </c>
      <c r="C56" s="12">
        <v>2.1908502554209785E-3</v>
      </c>
      <c r="D56" s="12">
        <v>2.1369765719665692E-3</v>
      </c>
      <c r="E56" s="12">
        <v>2.2672257218754027E-3</v>
      </c>
      <c r="F56" s="10"/>
      <c r="G56" s="10"/>
      <c r="H56" s="10"/>
      <c r="I56" s="10"/>
    </row>
    <row r="57" spans="1:26" ht="14.4" x14ac:dyDescent="0.3">
      <c r="A57" s="10" t="s">
        <v>46</v>
      </c>
      <c r="B57" s="12">
        <v>6.1278722554944737E-2</v>
      </c>
      <c r="C57" s="12">
        <v>5.6258033616867972E-2</v>
      </c>
      <c r="D57" s="12">
        <v>5.6884140199202855E-2</v>
      </c>
      <c r="E57" s="12">
        <v>6.0722135421079723E-2</v>
      </c>
      <c r="F57" s="10"/>
      <c r="G57" s="10"/>
      <c r="H57" s="10"/>
      <c r="I57" s="10"/>
    </row>
    <row r="58" spans="1:26" ht="14.4" x14ac:dyDescent="0.3">
      <c r="A58" s="10" t="s">
        <v>44</v>
      </c>
      <c r="B58" s="15">
        <v>0</v>
      </c>
      <c r="C58" s="15">
        <v>0</v>
      </c>
      <c r="D58" s="15">
        <v>0</v>
      </c>
      <c r="E58" s="15">
        <v>0</v>
      </c>
      <c r="F58" s="10"/>
      <c r="G58" s="10"/>
      <c r="H58" s="10"/>
      <c r="I58" s="10"/>
    </row>
    <row r="59" spans="1:26" ht="14.4" x14ac:dyDescent="0.3">
      <c r="A59" s="10" t="s">
        <v>32</v>
      </c>
      <c r="B59" s="12">
        <v>1.922222824062075E-2</v>
      </c>
      <c r="C59" s="14">
        <v>2.3060299921069314E-2</v>
      </c>
      <c r="D59" s="12">
        <v>2.181277265500264E-2</v>
      </c>
      <c r="E59" s="12">
        <v>2.1833077534055469E-2</v>
      </c>
      <c r="F59" s="10"/>
      <c r="G59" s="10"/>
      <c r="H59" s="10"/>
      <c r="I59" s="10"/>
    </row>
    <row r="60" spans="1:26" ht="14.4" x14ac:dyDescent="0.3">
      <c r="A60" s="10" t="s">
        <v>53</v>
      </c>
      <c r="B60" s="12">
        <v>4.6227549144512983E-3</v>
      </c>
      <c r="C60" s="12">
        <v>5.2234129077639285E-3</v>
      </c>
      <c r="D60" s="12">
        <v>4.9391849046802848E-3</v>
      </c>
      <c r="E60" s="14">
        <v>5.0481353337589567E-3</v>
      </c>
      <c r="F60" s="10"/>
      <c r="G60" s="10"/>
      <c r="H60" s="10"/>
      <c r="I60" s="10"/>
    </row>
    <row r="61" spans="1:26" ht="14.4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26" ht="14.4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26" ht="14.4" x14ac:dyDescent="0.3">
      <c r="Q63" s="10" t="s">
        <v>135</v>
      </c>
      <c r="R63" s="10"/>
      <c r="S63" s="10"/>
      <c r="T63" s="10"/>
      <c r="U63" s="10"/>
    </row>
    <row r="64" spans="1:26" ht="14.4" x14ac:dyDescent="0.3">
      <c r="Q64" s="10" t="s">
        <v>199</v>
      </c>
      <c r="R64" s="10"/>
      <c r="S64" s="10"/>
      <c r="T64" s="10"/>
      <c r="U64" s="10"/>
    </row>
    <row r="65" spans="17:21" ht="14.4" x14ac:dyDescent="0.3">
      <c r="Q65" s="10" t="s">
        <v>189</v>
      </c>
      <c r="R65" s="10"/>
      <c r="S65" s="10"/>
      <c r="T65" s="10"/>
      <c r="U65" s="10"/>
    </row>
    <row r="66" spans="17:21" ht="14.4" x14ac:dyDescent="0.3">
      <c r="Q66" s="10" t="s">
        <v>174</v>
      </c>
      <c r="R66" s="10"/>
      <c r="S66" s="10"/>
      <c r="T66" s="10"/>
      <c r="U66" s="10"/>
    </row>
    <row r="67" spans="17:21" ht="14.4" x14ac:dyDescent="0.3">
      <c r="Q67" s="10" t="s">
        <v>171</v>
      </c>
      <c r="R67" s="10"/>
      <c r="S67" s="10"/>
      <c r="T67" s="10"/>
      <c r="U67" s="10"/>
    </row>
    <row r="68" spans="17:21" ht="14.4" x14ac:dyDescent="0.3">
      <c r="Q68" s="10"/>
      <c r="R68" s="10"/>
      <c r="S68" s="10"/>
      <c r="T68" s="10"/>
      <c r="U68" s="10"/>
    </row>
    <row r="69" spans="17:21" ht="14.4" x14ac:dyDescent="0.3">
      <c r="Q69" s="11"/>
      <c r="R69" s="11"/>
      <c r="S69" s="11"/>
      <c r="T69" s="11"/>
      <c r="U69" s="11"/>
    </row>
    <row r="70" spans="17:21" ht="14.4" x14ac:dyDescent="0.3">
      <c r="Q70" s="11" t="s">
        <v>148</v>
      </c>
      <c r="R70" s="11" t="s">
        <v>175</v>
      </c>
      <c r="S70" s="11" t="s">
        <v>166</v>
      </c>
      <c r="T70" s="11" t="s">
        <v>167</v>
      </c>
      <c r="U70" s="11" t="s">
        <v>168</v>
      </c>
    </row>
    <row r="71" spans="17:21" ht="14.4" x14ac:dyDescent="0.3">
      <c r="Q71" s="10" t="s">
        <v>18</v>
      </c>
      <c r="R71" s="12">
        <v>4.4166861380469623E-3</v>
      </c>
      <c r="S71" s="14">
        <v>5.0314551301397442E-3</v>
      </c>
      <c r="T71" s="12">
        <v>4.7290219898092614E-3</v>
      </c>
      <c r="U71" s="12">
        <v>4.8255811621937964E-3</v>
      </c>
    </row>
    <row r="72" spans="17:21" ht="14.4" x14ac:dyDescent="0.3">
      <c r="Q72" s="10" t="s">
        <v>66</v>
      </c>
      <c r="R72" s="12">
        <v>5.3258334198937952E-4</v>
      </c>
      <c r="S72" s="12">
        <v>4.1952549303036785E-4</v>
      </c>
      <c r="T72" s="12">
        <v>4.4625369090883684E-4</v>
      </c>
      <c r="U72" s="12">
        <v>4.9223828060999735E-4</v>
      </c>
    </row>
    <row r="73" spans="17:21" ht="14.4" x14ac:dyDescent="0.3">
      <c r="Q73" s="10" t="s">
        <v>47</v>
      </c>
      <c r="R73" s="12">
        <v>5.2449899490959011E-3</v>
      </c>
      <c r="S73" s="12">
        <v>5.8275828006645004E-3</v>
      </c>
      <c r="T73" s="12">
        <v>5.5301947025566886E-3</v>
      </c>
      <c r="U73" s="12">
        <v>5.6750564807652804E-3</v>
      </c>
    </row>
    <row r="74" spans="17:21" ht="14.4" x14ac:dyDescent="0.3">
      <c r="Q74" s="10" t="s">
        <v>45</v>
      </c>
      <c r="R74" s="12">
        <v>0.14029311681672865</v>
      </c>
      <c r="S74" s="12">
        <v>0.18486795533066616</v>
      </c>
      <c r="T74" s="12">
        <v>0.16557294104983708</v>
      </c>
      <c r="U74" s="14">
        <v>0.17202725717986292</v>
      </c>
    </row>
    <row r="75" spans="17:21" ht="14.4" x14ac:dyDescent="0.3">
      <c r="Q75" s="10" t="s">
        <v>15</v>
      </c>
      <c r="R75" s="12">
        <v>3.6401607213947182E-3</v>
      </c>
      <c r="S75" s="12">
        <v>4.2915304568343611E-3</v>
      </c>
      <c r="T75" s="12">
        <v>4.1125941953564409E-3</v>
      </c>
      <c r="U75" s="14">
        <v>4.0121603470933956E-3</v>
      </c>
    </row>
    <row r="76" spans="17:21" ht="14.4" x14ac:dyDescent="0.3">
      <c r="Q76" s="10" t="s">
        <v>56</v>
      </c>
      <c r="R76" s="12">
        <v>0.21980706854715135</v>
      </c>
      <c r="S76" s="12">
        <v>0.28080247785980811</v>
      </c>
      <c r="T76" s="12">
        <v>0.25391260259063936</v>
      </c>
      <c r="U76" s="12">
        <v>0.26441170277298431</v>
      </c>
    </row>
    <row r="77" spans="17:21" ht="14.4" x14ac:dyDescent="0.3">
      <c r="Q77" s="10" t="s">
        <v>26</v>
      </c>
      <c r="R77" s="12">
        <v>2.4166100841727066E-3</v>
      </c>
      <c r="S77" s="12">
        <v>2.6089827438034664E-3</v>
      </c>
      <c r="T77" s="12">
        <v>2.5064158065842058E-3</v>
      </c>
      <c r="U77" s="12">
        <v>2.5874070729967921E-3</v>
      </c>
    </row>
    <row r="78" spans="17:21" ht="14.4" x14ac:dyDescent="0.3">
      <c r="Q78" s="10" t="s">
        <v>31</v>
      </c>
      <c r="R78" s="12">
        <v>6.3626144092126273E-3</v>
      </c>
      <c r="S78" s="12">
        <v>7.179336972122005E-3</v>
      </c>
      <c r="T78" s="12">
        <v>6.7844663288231175E-3</v>
      </c>
      <c r="U78" s="12">
        <v>6.9448849937621222E-3</v>
      </c>
    </row>
    <row r="79" spans="17:21" ht="14.4" x14ac:dyDescent="0.3">
      <c r="Q79" s="10" t="s">
        <v>64</v>
      </c>
      <c r="R79" s="14">
        <v>2.0002786286479461E-3</v>
      </c>
      <c r="S79" s="12">
        <v>1.8929134669032359E-3</v>
      </c>
      <c r="T79" s="12">
        <v>1.8906695705333911E-3</v>
      </c>
      <c r="U79" s="14">
        <v>2.0085675277825643E-3</v>
      </c>
    </row>
    <row r="80" spans="17:21" ht="14.4" x14ac:dyDescent="0.3">
      <c r="Q80" s="10" t="s">
        <v>6</v>
      </c>
      <c r="R80" s="12">
        <v>0.51685071046433217</v>
      </c>
      <c r="S80" s="12">
        <v>0.57890755397435811</v>
      </c>
      <c r="T80" s="12">
        <v>0.54555138851228402</v>
      </c>
      <c r="U80" s="12">
        <v>0.57447221053899977</v>
      </c>
    </row>
    <row r="81" spans="17:21" ht="14.4" x14ac:dyDescent="0.3">
      <c r="Q81" s="10" t="s">
        <v>14</v>
      </c>
      <c r="R81" s="12">
        <v>0.84551750255256364</v>
      </c>
      <c r="S81" s="12">
        <v>0.94555436855396313</v>
      </c>
      <c r="T81" s="12">
        <v>0.89218024486348435</v>
      </c>
      <c r="U81" s="17">
        <v>0.94007209452477081</v>
      </c>
    </row>
    <row r="82" spans="17:21" ht="14.4" x14ac:dyDescent="0.3">
      <c r="Q82" s="10" t="s">
        <v>50</v>
      </c>
      <c r="R82" s="12">
        <v>9.9622856825567041E-2</v>
      </c>
      <c r="S82" s="12">
        <v>7.4902508316624233E-2</v>
      </c>
      <c r="T82" s="12">
        <v>8.0969707677873745E-2</v>
      </c>
      <c r="U82" s="12">
        <v>9.0397869044903073E-2</v>
      </c>
    </row>
    <row r="83" spans="17:21" ht="14.4" x14ac:dyDescent="0.3">
      <c r="Q83" s="10" t="s">
        <v>7</v>
      </c>
      <c r="R83" s="12">
        <v>9.8160761866283638E-3</v>
      </c>
      <c r="S83" s="12">
        <v>7.4360662425550879E-3</v>
      </c>
      <c r="T83" s="14">
        <v>8.0182474663913796E-3</v>
      </c>
      <c r="U83" s="12">
        <v>8.9321212177287286E-3</v>
      </c>
    </row>
    <row r="84" spans="17:21" ht="14.4" x14ac:dyDescent="0.3">
      <c r="Q84" s="10" t="s">
        <v>24</v>
      </c>
      <c r="R84" s="12">
        <v>1.1451963269408427E-3</v>
      </c>
      <c r="S84" s="12">
        <v>1.1488604997939274E-3</v>
      </c>
      <c r="T84" s="12">
        <v>1.1206096657873487E-3</v>
      </c>
      <c r="U84" s="12">
        <v>1.1889110492761268E-3</v>
      </c>
    </row>
    <row r="85" spans="17:21" ht="14.4" x14ac:dyDescent="0.3">
      <c r="Q85" s="10" t="s">
        <v>46</v>
      </c>
      <c r="R85" s="12">
        <v>8.2265942557607742E-4</v>
      </c>
      <c r="S85" s="12">
        <v>7.5525728490496459E-4</v>
      </c>
      <c r="T85" s="12">
        <v>7.636626899117534E-4</v>
      </c>
      <c r="U85" s="12">
        <v>8.1518731074179795E-4</v>
      </c>
    </row>
    <row r="86" spans="17:21" ht="14.4" x14ac:dyDescent="0.3">
      <c r="Q86" s="10" t="s">
        <v>44</v>
      </c>
      <c r="R86" s="15">
        <v>0</v>
      </c>
      <c r="S86" s="15">
        <v>0</v>
      </c>
      <c r="T86" s="15">
        <v>0</v>
      </c>
      <c r="U86" s="15">
        <v>0</v>
      </c>
    </row>
    <row r="87" spans="17:21" ht="14.4" x14ac:dyDescent="0.3">
      <c r="Q87" s="10" t="s">
        <v>32</v>
      </c>
      <c r="R87" s="12">
        <v>3.0892866815283353E-2</v>
      </c>
      <c r="S87" s="14">
        <v>3.7061196301718564E-2</v>
      </c>
      <c r="T87" s="14">
        <v>3.5056241766968498E-2</v>
      </c>
      <c r="U87" s="14">
        <v>3.5088874608303455E-2</v>
      </c>
    </row>
    <row r="88" spans="17:21" ht="14.4" x14ac:dyDescent="0.3">
      <c r="Q88" s="10" t="s">
        <v>53</v>
      </c>
      <c r="R88" s="12">
        <v>5.5789390569427853E-3</v>
      </c>
      <c r="S88" s="12">
        <v>6.3038389057928574E-3</v>
      </c>
      <c r="T88" s="12">
        <v>5.9608203515270561E-3</v>
      </c>
      <c r="U88" s="14">
        <v>6.0923064059050635E-3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opLeftCell="G19" zoomScale="115" zoomScaleNormal="115" workbookViewId="0">
      <selection activeCell="Y37" sqref="Y37"/>
    </sheetView>
  </sheetViews>
  <sheetFormatPr defaultRowHeight="13.2" x14ac:dyDescent="0.25"/>
  <cols>
    <col min="1" max="8" width="8.88671875" style="8"/>
    <col min="9" max="9" width="19.5546875" style="8" customWidth="1"/>
    <col min="10" max="16" width="8.88671875" style="8"/>
    <col min="17" max="17" width="17.33203125" style="8" customWidth="1"/>
    <col min="18" max="16384" width="8.88671875" style="8"/>
  </cols>
  <sheetData>
    <row r="1" spans="1:29" x14ac:dyDescent="0.25">
      <c r="A1" s="8" t="s">
        <v>40</v>
      </c>
      <c r="B1" s="8" t="s">
        <v>20</v>
      </c>
      <c r="C1" s="8" t="s">
        <v>61</v>
      </c>
      <c r="D1" s="19">
        <v>43197</v>
      </c>
      <c r="E1" s="8" t="s">
        <v>17</v>
      </c>
      <c r="F1" s="20">
        <v>0.73589620370370401</v>
      </c>
    </row>
    <row r="2" spans="1:29" x14ac:dyDescent="0.25">
      <c r="A2" s="8" t="s">
        <v>13</v>
      </c>
      <c r="B2" s="8" t="s">
        <v>41</v>
      </c>
    </row>
    <row r="5" spans="1:29" x14ac:dyDescent="0.25">
      <c r="A5" s="8" t="s">
        <v>134</v>
      </c>
      <c r="B5" s="8" t="s">
        <v>69</v>
      </c>
      <c r="I5" s="8" t="s">
        <v>69</v>
      </c>
      <c r="J5" s="8" t="s">
        <v>134</v>
      </c>
      <c r="Q5" s="8" t="s">
        <v>69</v>
      </c>
      <c r="R5" s="8" t="s">
        <v>134</v>
      </c>
      <c r="Z5" s="8" t="s">
        <v>200</v>
      </c>
    </row>
    <row r="6" spans="1:29" x14ac:dyDescent="0.25">
      <c r="A6" s="8" t="s">
        <v>40</v>
      </c>
      <c r="B6" s="8" t="s">
        <v>39</v>
      </c>
      <c r="I6" s="8" t="s">
        <v>39</v>
      </c>
      <c r="J6" s="8" t="s">
        <v>40</v>
      </c>
      <c r="Q6" s="8" t="s">
        <v>39</v>
      </c>
      <c r="R6" s="8" t="s">
        <v>40</v>
      </c>
    </row>
    <row r="7" spans="1:29" x14ac:dyDescent="0.25">
      <c r="A7" s="8" t="s">
        <v>156</v>
      </c>
      <c r="B7" s="8" t="s">
        <v>137</v>
      </c>
      <c r="I7" s="8" t="s">
        <v>137</v>
      </c>
      <c r="J7" s="8" t="s">
        <v>156</v>
      </c>
      <c r="Q7" s="8" t="s">
        <v>137</v>
      </c>
      <c r="R7" s="8" t="s">
        <v>156</v>
      </c>
    </row>
    <row r="8" spans="1:29" x14ac:dyDescent="0.25">
      <c r="A8" s="8" t="s">
        <v>158</v>
      </c>
      <c r="B8" s="8" t="s">
        <v>140</v>
      </c>
      <c r="I8" s="8" t="s">
        <v>140</v>
      </c>
      <c r="J8" s="8" t="s">
        <v>158</v>
      </c>
      <c r="Q8" s="8" t="s">
        <v>140</v>
      </c>
      <c r="R8" s="8" t="s">
        <v>158</v>
      </c>
    </row>
    <row r="9" spans="1:29" x14ac:dyDescent="0.25">
      <c r="A9" s="8" t="s">
        <v>159</v>
      </c>
      <c r="B9" s="8" t="s">
        <v>142</v>
      </c>
      <c r="I9" s="8" t="s">
        <v>142</v>
      </c>
      <c r="J9" s="8" t="s">
        <v>159</v>
      </c>
      <c r="Q9" s="8" t="s">
        <v>142</v>
      </c>
      <c r="R9" s="8" t="s">
        <v>159</v>
      </c>
    </row>
    <row r="10" spans="1:29" x14ac:dyDescent="0.25">
      <c r="A10" s="8" t="s">
        <v>161</v>
      </c>
      <c r="B10" s="8" t="s">
        <v>160</v>
      </c>
      <c r="I10" s="8" t="s">
        <v>160</v>
      </c>
      <c r="J10" s="8" t="s">
        <v>161</v>
      </c>
      <c r="Q10" s="8" t="s">
        <v>160</v>
      </c>
      <c r="R10" s="8" t="s">
        <v>161</v>
      </c>
    </row>
    <row r="11" spans="1:29" x14ac:dyDescent="0.25">
      <c r="A11" s="8" t="s">
        <v>201</v>
      </c>
      <c r="B11" s="8" t="s">
        <v>49</v>
      </c>
      <c r="I11" s="8" t="s">
        <v>49</v>
      </c>
      <c r="J11" s="8" t="s">
        <v>201</v>
      </c>
      <c r="Q11" s="8" t="s">
        <v>49</v>
      </c>
      <c r="R11" s="8" t="s">
        <v>201</v>
      </c>
    </row>
    <row r="12" spans="1:29" x14ac:dyDescent="0.25">
      <c r="A12" s="9" t="s">
        <v>62</v>
      </c>
      <c r="B12" s="8" t="s">
        <v>60</v>
      </c>
      <c r="I12" s="8" t="s">
        <v>60</v>
      </c>
      <c r="J12" s="9" t="s">
        <v>202</v>
      </c>
      <c r="Q12" s="8" t="s">
        <v>60</v>
      </c>
      <c r="R12" s="9" t="s">
        <v>203</v>
      </c>
    </row>
    <row r="13" spans="1:29" x14ac:dyDescent="0.25">
      <c r="R13" s="24" t="s">
        <v>204</v>
      </c>
      <c r="S13" s="24"/>
      <c r="T13" s="24"/>
      <c r="U13" s="24"/>
      <c r="V13" s="24" t="s">
        <v>205</v>
      </c>
      <c r="W13" s="24"/>
      <c r="X13" s="24"/>
      <c r="Y13" s="24"/>
      <c r="Z13" s="24" t="s">
        <v>206</v>
      </c>
      <c r="AA13" s="24"/>
      <c r="AB13" s="24"/>
      <c r="AC13" s="24"/>
    </row>
    <row r="14" spans="1:29" x14ac:dyDescent="0.25">
      <c r="A14" s="8" t="s">
        <v>43</v>
      </c>
      <c r="B14" s="8" t="s">
        <v>22</v>
      </c>
      <c r="C14" s="8" t="s">
        <v>162</v>
      </c>
      <c r="D14" s="8" t="s">
        <v>163</v>
      </c>
      <c r="E14" s="8" t="s">
        <v>164</v>
      </c>
      <c r="F14" s="8" t="s">
        <v>165</v>
      </c>
      <c r="I14" s="8" t="s">
        <v>22</v>
      </c>
      <c r="J14" s="8" t="s">
        <v>43</v>
      </c>
      <c r="K14" s="8" t="s">
        <v>162</v>
      </c>
      <c r="L14" s="8" t="s">
        <v>163</v>
      </c>
      <c r="M14" s="8" t="s">
        <v>164</v>
      </c>
      <c r="N14" s="8" t="s">
        <v>165</v>
      </c>
      <c r="Q14" s="8" t="s">
        <v>22</v>
      </c>
      <c r="R14" s="8" t="s">
        <v>207</v>
      </c>
      <c r="S14" s="8" t="s">
        <v>208</v>
      </c>
      <c r="T14" s="8" t="s">
        <v>209</v>
      </c>
      <c r="U14" s="8" t="s">
        <v>210</v>
      </c>
      <c r="V14" s="8" t="s">
        <v>207</v>
      </c>
      <c r="W14" s="8" t="s">
        <v>208</v>
      </c>
      <c r="X14" s="8" t="s">
        <v>209</v>
      </c>
      <c r="Y14" s="8" t="s">
        <v>210</v>
      </c>
      <c r="Z14" s="8" t="s">
        <v>207</v>
      </c>
      <c r="AA14" s="8" t="s">
        <v>208</v>
      </c>
      <c r="AB14" s="8" t="s">
        <v>209</v>
      </c>
      <c r="AC14" s="8" t="s">
        <v>210</v>
      </c>
    </row>
    <row r="15" spans="1:29" x14ac:dyDescent="0.25">
      <c r="A15" s="8" t="s">
        <v>59</v>
      </c>
      <c r="B15" s="8" t="s">
        <v>18</v>
      </c>
      <c r="C15" s="8">
        <v>171.603938111612</v>
      </c>
      <c r="D15" s="8">
        <v>139.75620668192599</v>
      </c>
      <c r="E15" s="8">
        <v>146.224325094801</v>
      </c>
      <c r="F15" s="8">
        <v>160.46590203842101</v>
      </c>
      <c r="I15" s="8" t="s">
        <v>18</v>
      </c>
      <c r="J15" s="8" t="s">
        <v>211</v>
      </c>
      <c r="K15" s="8">
        <v>1.8612163127585499E-2</v>
      </c>
      <c r="L15" s="8">
        <v>1.5157958176721701E-2</v>
      </c>
      <c r="M15" s="8">
        <v>1.5859490299782099E-2</v>
      </c>
      <c r="N15" s="8">
        <v>1.7404131735087199E-2</v>
      </c>
      <c r="Q15" s="8" t="s">
        <v>18</v>
      </c>
      <c r="R15" s="8">
        <v>1.24087291571612</v>
      </c>
      <c r="S15" s="8">
        <v>1.01058107164204</v>
      </c>
      <c r="T15" s="8">
        <v>1.0573522182864701</v>
      </c>
      <c r="U15" s="8">
        <v>1.16033346277826</v>
      </c>
      <c r="V15" s="8">
        <v>0.169463985600843</v>
      </c>
      <c r="W15" s="8">
        <v>0.212330850808231</v>
      </c>
      <c r="X15" s="8">
        <v>0.19429225626413099</v>
      </c>
      <c r="Y15" s="8">
        <v>0.19441823550748799</v>
      </c>
      <c r="Z15" s="8">
        <v>0.21928051995928299</v>
      </c>
      <c r="AA15" s="8">
        <v>0.24944652060175901</v>
      </c>
      <c r="AB15" s="8">
        <v>0.234544016349398</v>
      </c>
      <c r="AC15" s="8">
        <v>0.23945238204642699</v>
      </c>
    </row>
    <row r="16" spans="1:29" x14ac:dyDescent="0.25">
      <c r="A16" s="8" t="s">
        <v>0</v>
      </c>
      <c r="B16" s="8" t="s">
        <v>66</v>
      </c>
      <c r="C16" s="8">
        <v>1.9634693149254501E-5</v>
      </c>
      <c r="D16" s="8">
        <v>1.53771801735295E-5</v>
      </c>
      <c r="E16" s="8">
        <v>1.636630731025E-5</v>
      </c>
      <c r="F16" s="8">
        <v>1.8094663654960498E-5</v>
      </c>
      <c r="I16" s="8" t="s">
        <v>66</v>
      </c>
      <c r="J16" s="8" t="s">
        <v>211</v>
      </c>
      <c r="K16" s="8">
        <v>9.0901364444583E-4</v>
      </c>
      <c r="L16" s="8">
        <v>7.1190654646777402E-4</v>
      </c>
      <c r="M16" s="8">
        <v>7.5769947312752503E-4</v>
      </c>
      <c r="N16" s="8">
        <v>8.3771597696914897E-4</v>
      </c>
      <c r="Q16" s="8" t="s">
        <v>66</v>
      </c>
      <c r="R16" s="8">
        <v>6.06039396752035E-2</v>
      </c>
      <c r="S16" s="8">
        <v>4.7462809453006502E-2</v>
      </c>
      <c r="T16" s="8">
        <v>5.0515823873412101E-2</v>
      </c>
      <c r="U16" s="8">
        <v>5.58505241845332E-2</v>
      </c>
      <c r="V16" s="8">
        <v>8.9465190300908101E-3</v>
      </c>
      <c r="W16" s="8">
        <v>8.9755929639943801E-3</v>
      </c>
      <c r="X16" s="8">
        <v>8.8457069469173796E-3</v>
      </c>
      <c r="Y16" s="8">
        <v>9.2212945000372092E-3</v>
      </c>
      <c r="Z16" s="8">
        <v>6.0608820163898E-2</v>
      </c>
      <c r="AA16" s="8">
        <v>4.7466445882134098E-2</v>
      </c>
      <c r="AB16" s="8">
        <v>5.0588846247645203E-2</v>
      </c>
      <c r="AC16" s="8">
        <v>5.5924014793704298E-2</v>
      </c>
    </row>
    <row r="17" spans="1:29" x14ac:dyDescent="0.25">
      <c r="A17" s="9" t="s">
        <v>212</v>
      </c>
      <c r="B17" s="9" t="s">
        <v>213</v>
      </c>
      <c r="C17" s="9">
        <v>9.6468832677375197E-5</v>
      </c>
      <c r="D17" s="9">
        <v>1.07147446551721E-4</v>
      </c>
      <c r="E17" s="9">
        <v>1.00712270494312E-4</v>
      </c>
      <c r="F17" s="9">
        <v>1.07126285915501E-4</v>
      </c>
      <c r="I17" s="9" t="s">
        <v>213</v>
      </c>
      <c r="J17" s="9" t="s">
        <v>211</v>
      </c>
      <c r="K17" s="9">
        <v>0.180991929804312</v>
      </c>
      <c r="L17" s="9">
        <v>0.201026824796943</v>
      </c>
      <c r="M17" s="9">
        <v>0.188953340533313</v>
      </c>
      <c r="N17" s="9">
        <v>0.200987123846086</v>
      </c>
      <c r="Q17" s="8" t="s">
        <v>213</v>
      </c>
      <c r="R17" s="8">
        <v>12.066731960053399</v>
      </c>
      <c r="S17" s="8">
        <v>13.402458409212199</v>
      </c>
      <c r="T17" s="8">
        <v>12.5975192133559</v>
      </c>
      <c r="U17" s="8">
        <v>13.3998115468185</v>
      </c>
      <c r="V17" s="8">
        <v>7.3860401393984496</v>
      </c>
      <c r="W17" s="8">
        <v>9.9151221622467993</v>
      </c>
      <c r="X17" s="8">
        <v>8.8245299684743603</v>
      </c>
      <c r="Y17" s="8">
        <v>9.1774758233008402</v>
      </c>
      <c r="Z17" s="8">
        <v>8.7698113452817008</v>
      </c>
      <c r="AA17" s="8">
        <v>10.9460970003536</v>
      </c>
      <c r="AB17" s="8">
        <v>9.9426170481820701</v>
      </c>
      <c r="AC17" s="8">
        <v>10.4284049613767</v>
      </c>
    </row>
    <row r="18" spans="1:29" x14ac:dyDescent="0.25">
      <c r="A18" s="8" t="s">
        <v>212</v>
      </c>
      <c r="B18" s="8" t="s">
        <v>214</v>
      </c>
      <c r="C18" s="8">
        <v>1.43841490455384E-5</v>
      </c>
      <c r="D18" s="8">
        <v>1.2572906538379401E-5</v>
      </c>
      <c r="E18" s="8">
        <v>1.2849221973412201E-5</v>
      </c>
      <c r="F18" s="8">
        <v>1.39531440823118E-5</v>
      </c>
      <c r="I18" s="8" t="s">
        <v>214</v>
      </c>
      <c r="J18" s="8" t="s">
        <v>211</v>
      </c>
      <c r="K18" s="8">
        <v>0.38981475437880297</v>
      </c>
      <c r="L18" s="8">
        <v>0.34072953906204201</v>
      </c>
      <c r="M18" s="8">
        <v>0.34821777024606398</v>
      </c>
      <c r="N18" s="8">
        <v>0.37813439057387499</v>
      </c>
      <c r="Q18" s="8" t="s">
        <v>214</v>
      </c>
      <c r="R18" s="8">
        <v>25.988949674434899</v>
      </c>
      <c r="S18" s="8">
        <v>22.716438369266399</v>
      </c>
      <c r="T18" s="8">
        <v>23.215678742304998</v>
      </c>
      <c r="U18" s="8">
        <v>25.210219819560201</v>
      </c>
      <c r="V18" s="8">
        <v>8.4740538327551391</v>
      </c>
      <c r="W18" s="8">
        <v>9.6670142985447303</v>
      </c>
      <c r="X18" s="8">
        <v>9.0975648372348594</v>
      </c>
      <c r="Y18" s="8">
        <v>9.4106758063312004</v>
      </c>
      <c r="Z18" s="8">
        <v>9.73564486931914</v>
      </c>
      <c r="AA18" s="8">
        <v>10.606959159662701</v>
      </c>
      <c r="AB18" s="8">
        <v>10.1169303408776</v>
      </c>
      <c r="AC18" s="8">
        <v>10.5511540495842</v>
      </c>
    </row>
    <row r="19" spans="1:29" x14ac:dyDescent="0.25">
      <c r="A19" s="8" t="s">
        <v>215</v>
      </c>
      <c r="B19" s="8" t="s">
        <v>216</v>
      </c>
      <c r="C19" s="8">
        <v>7.8584933694071796E-2</v>
      </c>
      <c r="D19" s="8">
        <v>7.1848995596921206E-2</v>
      </c>
      <c r="E19" s="8">
        <v>7.1881625081414102E-2</v>
      </c>
      <c r="F19" s="8">
        <v>7.6968118453715206E-2</v>
      </c>
      <c r="I19" s="8" t="s">
        <v>216</v>
      </c>
      <c r="J19" s="8" t="s">
        <v>211</v>
      </c>
      <c r="K19" s="8">
        <v>2.06802539810645E-2</v>
      </c>
      <c r="L19" s="8">
        <v>1.8907637983294499E-2</v>
      </c>
      <c r="M19" s="8">
        <v>1.8916224693174701E-2</v>
      </c>
      <c r="N19" s="8">
        <v>2.0254776116042799E-2</v>
      </c>
      <c r="Q19" s="8" t="s">
        <v>216</v>
      </c>
      <c r="R19" s="8">
        <v>1.3787525329175701</v>
      </c>
      <c r="S19" s="8">
        <v>1.26057222434625</v>
      </c>
      <c r="T19" s="8">
        <v>1.26114470029395</v>
      </c>
      <c r="U19" s="8">
        <v>1.3503859236565701</v>
      </c>
      <c r="V19" s="8">
        <v>0.38354973586751401</v>
      </c>
      <c r="W19" s="8">
        <v>0.51909916925807498</v>
      </c>
      <c r="X19" s="8">
        <v>0.46370114132885099</v>
      </c>
      <c r="Y19" s="8">
        <v>0.45740288769279902</v>
      </c>
      <c r="Z19" s="8">
        <v>0.584312935276177</v>
      </c>
      <c r="AA19" s="8">
        <v>0.66867722757995596</v>
      </c>
      <c r="AB19" s="8">
        <v>0.62591780502871297</v>
      </c>
      <c r="AC19" s="8">
        <v>0.638892818685868</v>
      </c>
    </row>
    <row r="20" spans="1:29" x14ac:dyDescent="0.25">
      <c r="A20" s="8" t="s">
        <v>68</v>
      </c>
      <c r="B20" s="8" t="s">
        <v>217</v>
      </c>
      <c r="C20" s="8">
        <v>78.136514233291507</v>
      </c>
      <c r="D20" s="8">
        <v>59.106577305953003</v>
      </c>
      <c r="E20" s="8">
        <v>63.730936351904901</v>
      </c>
      <c r="F20" s="8">
        <v>71.053899885221796</v>
      </c>
      <c r="I20" s="8" t="s">
        <v>217</v>
      </c>
      <c r="J20" s="8" t="s">
        <v>211</v>
      </c>
      <c r="K20" s="8">
        <v>6.9147377089836704E-2</v>
      </c>
      <c r="L20" s="8">
        <v>5.2306720226366898E-2</v>
      </c>
      <c r="M20" s="8">
        <v>5.6399074510236402E-2</v>
      </c>
      <c r="N20" s="8">
        <v>6.2879575026826395E-2</v>
      </c>
      <c r="Q20" s="8" t="s">
        <v>217</v>
      </c>
      <c r="R20" s="8">
        <v>4.61005563057941</v>
      </c>
      <c r="S20" s="8">
        <v>3.4872890374918901</v>
      </c>
      <c r="T20" s="8">
        <v>3.7601262975974601</v>
      </c>
      <c r="U20" s="8">
        <v>4.1921812670385101</v>
      </c>
      <c r="V20" s="8">
        <v>0.30335381070031397</v>
      </c>
      <c r="W20" s="8">
        <v>0.27859291938229902</v>
      </c>
      <c r="X20" s="8">
        <v>0.281872175854051</v>
      </c>
      <c r="Y20" s="8">
        <v>0.30048374718111998</v>
      </c>
      <c r="Z20" s="8">
        <v>7.7398929693872596</v>
      </c>
      <c r="AA20" s="8">
        <v>5.8191656103422602</v>
      </c>
      <c r="AB20" s="8">
        <v>6.2905958181804804</v>
      </c>
      <c r="AC20" s="8">
        <v>7.0231151571942698</v>
      </c>
    </row>
    <row r="21" spans="1:29" x14ac:dyDescent="0.25">
      <c r="A21" s="8" t="s">
        <v>218</v>
      </c>
      <c r="B21" s="8" t="s">
        <v>219</v>
      </c>
      <c r="C21" s="8">
        <v>1.98040949093456E-4</v>
      </c>
      <c r="D21" s="8">
        <v>1.50514690046263E-4</v>
      </c>
      <c r="E21" s="8">
        <v>1.6197778758083E-4</v>
      </c>
      <c r="F21" s="8">
        <v>1.8045829906149501E-4</v>
      </c>
      <c r="I21" s="8" t="s">
        <v>219</v>
      </c>
      <c r="J21" s="8" t="s">
        <v>211</v>
      </c>
      <c r="K21" s="8">
        <v>0</v>
      </c>
      <c r="L21" s="8">
        <v>0</v>
      </c>
      <c r="M21" s="8">
        <v>0</v>
      </c>
      <c r="N21" s="8">
        <v>0</v>
      </c>
      <c r="Q21" s="8" t="s">
        <v>219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 x14ac:dyDescent="0.25">
      <c r="A22" s="8" t="s">
        <v>220</v>
      </c>
      <c r="B22" s="8" t="s">
        <v>221</v>
      </c>
      <c r="C22" s="8">
        <v>0.38509162275841802</v>
      </c>
      <c r="D22" s="8">
        <v>0.33215745623014897</v>
      </c>
      <c r="E22" s="8">
        <v>0.34074015712136002</v>
      </c>
      <c r="F22" s="8">
        <v>0.369273146366417</v>
      </c>
      <c r="I22" s="8" t="s">
        <v>221</v>
      </c>
      <c r="J22" s="8" t="s">
        <v>211</v>
      </c>
      <c r="K22" s="8">
        <v>1.2147984804050301E-2</v>
      </c>
      <c r="L22" s="8">
        <v>1.04781394669994E-2</v>
      </c>
      <c r="M22" s="8">
        <v>1.0748886774503299E-2</v>
      </c>
      <c r="N22" s="8">
        <v>1.16489798933311E-2</v>
      </c>
      <c r="Q22" s="8" t="s">
        <v>221</v>
      </c>
      <c r="R22" s="8">
        <v>0.80990614688603102</v>
      </c>
      <c r="S22" s="8">
        <v>0.69857755826485002</v>
      </c>
      <c r="T22" s="8">
        <v>0.71662828125613498</v>
      </c>
      <c r="U22" s="8">
        <v>0.77663748948838596</v>
      </c>
      <c r="V22" s="8">
        <v>0.16918414870336801</v>
      </c>
      <c r="W22" s="8">
        <v>0.22120942903569199</v>
      </c>
      <c r="X22" s="8">
        <v>0.20183575838769</v>
      </c>
      <c r="Y22" s="8">
        <v>0.20033565073468601</v>
      </c>
      <c r="Z22" s="8">
        <v>0.27902628206109598</v>
      </c>
      <c r="AA22" s="8">
        <v>0.303047002724598</v>
      </c>
      <c r="AB22" s="8">
        <v>0.29058820166375599</v>
      </c>
      <c r="AC22" s="8">
        <v>0.299632938993458</v>
      </c>
    </row>
    <row r="23" spans="1:29" x14ac:dyDescent="0.25">
      <c r="A23" s="8" t="s">
        <v>222</v>
      </c>
      <c r="B23" s="8" t="s">
        <v>223</v>
      </c>
      <c r="C23" s="8">
        <v>1.04093989232793</v>
      </c>
      <c r="D23" s="8">
        <v>0.87141602400969698</v>
      </c>
      <c r="E23" s="8">
        <v>0.902655561145011</v>
      </c>
      <c r="F23" s="8">
        <v>0.98469570528189598</v>
      </c>
      <c r="I23" s="8" t="s">
        <v>223</v>
      </c>
      <c r="J23" s="8" t="s">
        <v>211</v>
      </c>
      <c r="K23" s="8">
        <v>2.2007134827640201E-2</v>
      </c>
      <c r="L23" s="8">
        <v>1.84231290132034E-2</v>
      </c>
      <c r="M23" s="8">
        <v>1.90835828115033E-2</v>
      </c>
      <c r="N23" s="8">
        <v>2.08180427227877E-2</v>
      </c>
      <c r="Q23" s="8" t="s">
        <v>223</v>
      </c>
      <c r="R23" s="8">
        <v>1.46721567895877</v>
      </c>
      <c r="S23" s="8">
        <v>1.22827001131028</v>
      </c>
      <c r="T23" s="8">
        <v>1.2723024660429201</v>
      </c>
      <c r="U23" s="8">
        <v>1.3879389083282601</v>
      </c>
      <c r="V23" s="8">
        <v>0.25395002087074797</v>
      </c>
      <c r="W23" s="8">
        <v>0.324329832975014</v>
      </c>
      <c r="X23" s="8">
        <v>0.29611779411252598</v>
      </c>
      <c r="Y23" s="8">
        <v>0.29528072493079799</v>
      </c>
      <c r="Z23" s="8">
        <v>0.36799205648891098</v>
      </c>
      <c r="AA23" s="8">
        <v>0.40929653182457798</v>
      </c>
      <c r="AB23" s="8">
        <v>0.38826375804739699</v>
      </c>
      <c r="AC23" s="8">
        <v>0.39837472471311502</v>
      </c>
    </row>
    <row r="24" spans="1:29" x14ac:dyDescent="0.25">
      <c r="A24" s="8" t="s">
        <v>224</v>
      </c>
      <c r="B24" s="8" t="s">
        <v>225</v>
      </c>
      <c r="C24" s="8">
        <v>1.3581707648841299</v>
      </c>
      <c r="D24" s="8">
        <v>1.17839091492448</v>
      </c>
      <c r="E24" s="8">
        <v>1.20379299335586</v>
      </c>
      <c r="F24" s="8">
        <v>1.30398404950987</v>
      </c>
      <c r="I24" s="8" t="s">
        <v>225</v>
      </c>
      <c r="J24" s="8" t="s">
        <v>211</v>
      </c>
      <c r="K24" s="8">
        <v>7.7168546519186896E-3</v>
      </c>
      <c r="L24" s="8">
        <v>6.6953815004179096E-3</v>
      </c>
      <c r="M24" s="8">
        <v>6.8397110296493603E-3</v>
      </c>
      <c r="N24" s="8">
        <v>7.4089765725051998E-3</v>
      </c>
      <c r="Q24" s="8" t="s">
        <v>225</v>
      </c>
      <c r="R24" s="8">
        <v>0.51448269964341697</v>
      </c>
      <c r="S24" s="8">
        <v>0.44638108463286102</v>
      </c>
      <c r="T24" s="8">
        <v>0.45600353434672097</v>
      </c>
      <c r="U24" s="8">
        <v>0.49395646808892002</v>
      </c>
      <c r="V24" s="8">
        <v>0.108386624622391</v>
      </c>
      <c r="W24" s="8">
        <v>0.14382034195910601</v>
      </c>
      <c r="X24" s="8">
        <v>0.12974411950210199</v>
      </c>
      <c r="Y24" s="8">
        <v>0.12871182757142599</v>
      </c>
      <c r="Z24" s="8">
        <v>0.20899040596534199</v>
      </c>
      <c r="AA24" s="8">
        <v>0.21877490748442299</v>
      </c>
      <c r="AB24" s="8">
        <v>0.21103197447227001</v>
      </c>
      <c r="AC24" s="8">
        <v>0.219657645723323</v>
      </c>
    </row>
    <row r="25" spans="1:29" x14ac:dyDescent="0.25">
      <c r="A25" s="8" t="s">
        <v>34</v>
      </c>
      <c r="B25" s="8" t="s">
        <v>45</v>
      </c>
      <c r="C25" s="8">
        <v>0.17231213227321299</v>
      </c>
      <c r="D25" s="8">
        <v>0.15166934771239299</v>
      </c>
      <c r="E25" s="8">
        <v>0.154246088431819</v>
      </c>
      <c r="F25" s="8">
        <v>0.16875481453550001</v>
      </c>
      <c r="I25" s="8" t="s">
        <v>45</v>
      </c>
      <c r="J25" s="8" t="s">
        <v>211</v>
      </c>
      <c r="K25" s="8">
        <v>0.116427172285836</v>
      </c>
      <c r="L25" s="8">
        <v>0.102479338184919</v>
      </c>
      <c r="M25" s="8">
        <v>0.104220380047258</v>
      </c>
      <c r="N25" s="8">
        <v>0.114023578066089</v>
      </c>
      <c r="Q25" s="8" t="s">
        <v>45</v>
      </c>
      <c r="R25" s="8">
        <v>7.7621995762966502</v>
      </c>
      <c r="S25" s="8">
        <v>6.8322974767885603</v>
      </c>
      <c r="T25" s="8">
        <v>6.9483727377506703</v>
      </c>
      <c r="U25" s="8">
        <v>7.6019519496661001</v>
      </c>
      <c r="V25" s="8">
        <v>1.72432546651928</v>
      </c>
      <c r="W25" s="8">
        <v>2.3337962867492998</v>
      </c>
      <c r="X25" s="8">
        <v>2.0750795524055601</v>
      </c>
      <c r="Y25" s="8">
        <v>2.1490228184752</v>
      </c>
      <c r="Z25" s="8">
        <v>1.8319382429207101</v>
      </c>
      <c r="AA25" s="8">
        <v>2.4139728775732801</v>
      </c>
      <c r="AB25" s="8">
        <v>2.1620306653148198</v>
      </c>
      <c r="AC25" s="8">
        <v>2.2463047577381299</v>
      </c>
    </row>
    <row r="26" spans="1:29" x14ac:dyDescent="0.25">
      <c r="A26" s="8" t="s">
        <v>65</v>
      </c>
      <c r="B26" s="8" t="s">
        <v>15</v>
      </c>
      <c r="C26" s="8">
        <v>0.163769715114016</v>
      </c>
      <c r="D26" s="8">
        <v>0.14512758367214401</v>
      </c>
      <c r="E26" s="8">
        <v>0.14809871336862199</v>
      </c>
      <c r="F26" s="8">
        <v>0.158552340880004</v>
      </c>
      <c r="I26" s="8" t="s">
        <v>15</v>
      </c>
      <c r="J26" s="8" t="s">
        <v>211</v>
      </c>
      <c r="K26" s="8">
        <v>9.6905160748405397E-3</v>
      </c>
      <c r="L26" s="8">
        <v>8.5874313300146193E-3</v>
      </c>
      <c r="M26" s="8">
        <v>8.7632378279627401E-3</v>
      </c>
      <c r="N26" s="8">
        <v>9.3817956936153007E-3</v>
      </c>
      <c r="Q26" s="8" t="s">
        <v>15</v>
      </c>
      <c r="R26" s="8">
        <v>0.64606670670961897</v>
      </c>
      <c r="S26" s="8">
        <v>0.57252404677207402</v>
      </c>
      <c r="T26" s="8">
        <v>0.58424506599027504</v>
      </c>
      <c r="U26" s="8">
        <v>0.62548431889332901</v>
      </c>
      <c r="V26" s="8">
        <v>0.14745671174342101</v>
      </c>
      <c r="W26" s="8">
        <v>0.201036066970116</v>
      </c>
      <c r="X26" s="8">
        <v>0.18293987330219399</v>
      </c>
      <c r="Y26" s="8">
        <v>0.17631256373541301</v>
      </c>
      <c r="Z26" s="8">
        <v>0.24031501175245801</v>
      </c>
      <c r="AA26" s="8">
        <v>0.27021988314648798</v>
      </c>
      <c r="AB26" s="8">
        <v>0.25796937940328901</v>
      </c>
      <c r="AC26" s="8">
        <v>0.26025646657559398</v>
      </c>
    </row>
    <row r="27" spans="1:29" x14ac:dyDescent="0.25">
      <c r="A27" s="9" t="s">
        <v>218</v>
      </c>
      <c r="B27" s="9" t="s">
        <v>6</v>
      </c>
      <c r="C27" s="9">
        <v>2908.3531469642198</v>
      </c>
      <c r="D27" s="9">
        <v>3137.1816452459302</v>
      </c>
      <c r="E27" s="9">
        <v>2990.2604659188301</v>
      </c>
      <c r="F27" s="9">
        <v>3164.8494690020302</v>
      </c>
      <c r="I27" s="9" t="s">
        <v>6</v>
      </c>
      <c r="J27" s="9" t="s">
        <v>211</v>
      </c>
      <c r="K27" s="9">
        <v>0.33276213366305801</v>
      </c>
      <c r="L27" s="9">
        <v>0.35894377512245801</v>
      </c>
      <c r="M27" s="9">
        <v>0.34213364146856901</v>
      </c>
      <c r="N27" s="9">
        <v>0.36210941684533698</v>
      </c>
      <c r="Q27" s="8" t="s">
        <v>6</v>
      </c>
      <c r="R27" s="8">
        <v>22.185251451315999</v>
      </c>
      <c r="S27" s="8">
        <v>23.930781487414201</v>
      </c>
      <c r="T27" s="8">
        <v>22.810049876709499</v>
      </c>
      <c r="U27" s="8">
        <v>24.1418348210786</v>
      </c>
      <c r="V27" s="8">
        <v>14.621387797403701</v>
      </c>
      <c r="W27" s="8">
        <v>18.2953461782446</v>
      </c>
      <c r="X27" s="8">
        <v>16.7132442803522</v>
      </c>
      <c r="Y27" s="8">
        <v>17.318898215612599</v>
      </c>
      <c r="Z27" s="8">
        <v>15.1539123877796</v>
      </c>
      <c r="AA27" s="8">
        <v>18.692102096462399</v>
      </c>
      <c r="AB27" s="8">
        <v>17.143524064807298</v>
      </c>
      <c r="AC27" s="8">
        <v>17.8003003781164</v>
      </c>
    </row>
    <row r="28" spans="1:29" x14ac:dyDescent="0.25">
      <c r="A28" s="8" t="s">
        <v>226</v>
      </c>
      <c r="B28" s="8" t="s">
        <v>227</v>
      </c>
      <c r="C28" s="8">
        <v>174.450638086021</v>
      </c>
      <c r="D28" s="8">
        <v>145.421900680216</v>
      </c>
      <c r="E28" s="8">
        <v>151.30325283721999</v>
      </c>
      <c r="F28" s="8">
        <v>164.94899234957299</v>
      </c>
      <c r="I28" s="8" t="s">
        <v>227</v>
      </c>
      <c r="J28" s="8" t="s">
        <v>211</v>
      </c>
      <c r="K28" s="8">
        <v>2.33223058057202E-3</v>
      </c>
      <c r="L28" s="8">
        <v>1.9441453901938E-3</v>
      </c>
      <c r="M28" s="8">
        <v>2.0227731871807898E-3</v>
      </c>
      <c r="N28" s="8">
        <v>2.2052030787214402E-3</v>
      </c>
      <c r="Q28" s="8" t="s">
        <v>227</v>
      </c>
      <c r="R28" s="8">
        <v>0.15548981280673699</v>
      </c>
      <c r="S28" s="8">
        <v>0.12961617316422</v>
      </c>
      <c r="T28" s="8">
        <v>0.134858288389343</v>
      </c>
      <c r="U28" s="8">
        <v>0.14702088925835799</v>
      </c>
      <c r="V28" s="8">
        <v>2.56147068950568E-2</v>
      </c>
      <c r="W28" s="8">
        <v>3.2853089205474403E-2</v>
      </c>
      <c r="X28" s="8">
        <v>3.0222140480147E-2</v>
      </c>
      <c r="Y28" s="8">
        <v>2.99167302846403E-2</v>
      </c>
      <c r="Z28" s="8">
        <v>0.14515781463783201</v>
      </c>
      <c r="AA28" s="8">
        <v>0.12191834675226999</v>
      </c>
      <c r="AB28" s="8">
        <v>0.12681297106469</v>
      </c>
      <c r="AC28" s="8">
        <v>0.137983699919245</v>
      </c>
    </row>
    <row r="29" spans="1:29" x14ac:dyDescent="0.25">
      <c r="A29" s="8" t="s">
        <v>228</v>
      </c>
      <c r="B29" s="8" t="s">
        <v>229</v>
      </c>
      <c r="C29" s="8">
        <v>0.98337000981228595</v>
      </c>
      <c r="D29" s="8">
        <v>0.71969625966294204</v>
      </c>
      <c r="E29" s="8">
        <v>0.78527040867467401</v>
      </c>
      <c r="F29" s="8">
        <v>0.88192885407529198</v>
      </c>
      <c r="I29" s="8" t="s">
        <v>229</v>
      </c>
      <c r="J29" s="8" t="s">
        <v>211</v>
      </c>
      <c r="K29" s="8">
        <v>1.20807005705441E-2</v>
      </c>
      <c r="L29" s="8">
        <v>8.84146854995938E-3</v>
      </c>
      <c r="M29" s="8">
        <v>9.6470469705685104E-3</v>
      </c>
      <c r="N29" s="8">
        <v>1.08344959723151E-2</v>
      </c>
      <c r="Q29" s="8" t="s">
        <v>229</v>
      </c>
      <c r="R29" s="8">
        <v>0.80542030703818901</v>
      </c>
      <c r="S29" s="8">
        <v>0.58946070822580499</v>
      </c>
      <c r="T29" s="8">
        <v>0.64316862152781595</v>
      </c>
      <c r="U29" s="8">
        <v>0.72233584647426397</v>
      </c>
      <c r="V29" s="8">
        <v>3.3415012316207401E-3</v>
      </c>
      <c r="W29" s="8">
        <v>-8.1258608209037898E-3</v>
      </c>
      <c r="X29" s="8">
        <v>-4.8611071627697299E-3</v>
      </c>
      <c r="Y29" s="8">
        <v>-2.6934523768751598E-3</v>
      </c>
      <c r="Z29" s="8">
        <v>7.0088582522428694E-2</v>
      </c>
      <c r="AA29" s="8">
        <v>4.1603865260172401E-2</v>
      </c>
      <c r="AB29" s="8">
        <v>4.90705343705439E-2</v>
      </c>
      <c r="AC29" s="8">
        <v>5.7645909265370901E-2</v>
      </c>
    </row>
    <row r="30" spans="1:29" x14ac:dyDescent="0.25">
      <c r="A30" s="9" t="s">
        <v>230</v>
      </c>
      <c r="B30" s="9" t="s">
        <v>231</v>
      </c>
      <c r="C30" s="9">
        <v>1.01157287874471E-2</v>
      </c>
      <c r="D30" s="9">
        <v>1.1909156529730999E-2</v>
      </c>
      <c r="E30" s="9">
        <v>1.14014463261375E-2</v>
      </c>
      <c r="F30" s="9">
        <v>1.13457593062755E-2</v>
      </c>
      <c r="I30" s="8" t="s">
        <v>231</v>
      </c>
      <c r="J30" s="8" t="s">
        <v>211</v>
      </c>
      <c r="K30" s="8">
        <v>0.10015583072451401</v>
      </c>
      <c r="L30" s="8">
        <v>0.117912558800867</v>
      </c>
      <c r="M30" s="8">
        <v>0.112885720075088</v>
      </c>
      <c r="N30" s="8">
        <v>0.112334362891434</v>
      </c>
      <c r="Q30" s="8" t="s">
        <v>231</v>
      </c>
      <c r="R30" s="8">
        <v>6.6773892344033596</v>
      </c>
      <c r="S30" s="8">
        <v>7.8612302952538204</v>
      </c>
      <c r="T30" s="8">
        <v>7.5260909574060904</v>
      </c>
      <c r="U30" s="8">
        <v>7.4893319739718898</v>
      </c>
      <c r="V30" s="8">
        <v>5.8476232436161801</v>
      </c>
      <c r="W30" s="8">
        <v>7.2430154703887801</v>
      </c>
      <c r="X30" s="8">
        <v>6.8989805719926398</v>
      </c>
      <c r="Y30" s="8">
        <v>6.7825640481559297</v>
      </c>
      <c r="Z30" s="8">
        <v>6.5345153147914896</v>
      </c>
      <c r="AA30" s="8">
        <v>7.7547824672874999</v>
      </c>
      <c r="AB30" s="8">
        <v>7.4539893512425701</v>
      </c>
      <c r="AC30" s="8">
        <v>7.4035144944349698</v>
      </c>
    </row>
    <row r="31" spans="1:29" x14ac:dyDescent="0.25">
      <c r="Q31" s="9" t="s">
        <v>48</v>
      </c>
      <c r="R31" s="9">
        <v>86.369388267435397</v>
      </c>
      <c r="S31" s="9">
        <v>84.213940763238398</v>
      </c>
      <c r="T31" s="9">
        <v>83.034056825131799</v>
      </c>
      <c r="U31" s="9">
        <v>88.755275209284704</v>
      </c>
      <c r="V31" s="9">
        <v>39.6266782449581</v>
      </c>
      <c r="W31" s="9">
        <v>49.388415827911302</v>
      </c>
      <c r="X31" s="9">
        <v>45.394109069475498</v>
      </c>
      <c r="Y31" s="9">
        <v>46.6280269216373</v>
      </c>
      <c r="Z31" s="9">
        <v>51.941487558307301</v>
      </c>
      <c r="AA31" s="9">
        <v>58.563529942938104</v>
      </c>
      <c r="AB31" s="9">
        <v>55.3444747752526</v>
      </c>
      <c r="AC31" s="9">
        <v>57.7606143991609</v>
      </c>
    </row>
    <row r="32" spans="1:29" x14ac:dyDescent="0.25">
      <c r="W32" s="9" t="s">
        <v>232</v>
      </c>
    </row>
  </sheetData>
  <mergeCells count="3">
    <mergeCell ref="R13:U13"/>
    <mergeCell ref="V13:Y13"/>
    <mergeCell ref="Z13:AC1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28" workbookViewId="0">
      <selection activeCell="Y37" sqref="Y37"/>
    </sheetView>
  </sheetViews>
  <sheetFormatPr defaultColWidth="20.77734375" defaultRowHeight="14.4" x14ac:dyDescent="0.3"/>
  <cols>
    <col min="1" max="1" width="40.77734375" style="10" customWidth="1"/>
    <col min="2" max="16384" width="20.77734375" style="10"/>
  </cols>
  <sheetData>
    <row r="1" spans="1:5" x14ac:dyDescent="0.3">
      <c r="A1" s="10" t="s">
        <v>135</v>
      </c>
    </row>
    <row r="2" spans="1:5" x14ac:dyDescent="0.3">
      <c r="A2" s="10" t="s">
        <v>233</v>
      </c>
    </row>
    <row r="3" spans="1:5" x14ac:dyDescent="0.3">
      <c r="A3" s="10" t="s">
        <v>157</v>
      </c>
    </row>
    <row r="4" spans="1:5" x14ac:dyDescent="0.3">
      <c r="A4" s="10" t="s">
        <v>234</v>
      </c>
    </row>
    <row r="5" spans="1:5" x14ac:dyDescent="0.3">
      <c r="A5" s="10" t="s">
        <v>144</v>
      </c>
    </row>
    <row r="7" spans="1:5" s="11" customFormat="1" x14ac:dyDescent="0.3"/>
    <row r="8" spans="1:5" s="11" customFormat="1" x14ac:dyDescent="0.3">
      <c r="A8" s="11" t="s">
        <v>148</v>
      </c>
      <c r="B8" s="11" t="s">
        <v>162</v>
      </c>
      <c r="C8" s="11" t="s">
        <v>163</v>
      </c>
      <c r="D8" s="11" t="s">
        <v>164</v>
      </c>
      <c r="E8" s="11" t="s">
        <v>165</v>
      </c>
    </row>
    <row r="9" spans="1:5" x14ac:dyDescent="0.3">
      <c r="A9" s="10" t="s">
        <v>18</v>
      </c>
      <c r="B9" s="13">
        <v>100</v>
      </c>
      <c r="C9" s="12">
        <v>81.441141864138245</v>
      </c>
      <c r="D9" s="12">
        <v>85.210355137477023</v>
      </c>
      <c r="E9" s="12">
        <v>93.50945194162918</v>
      </c>
    </row>
    <row r="10" spans="1:5" x14ac:dyDescent="0.3">
      <c r="A10" s="10" t="s">
        <v>66</v>
      </c>
      <c r="B10" s="13">
        <v>100</v>
      </c>
      <c r="C10" s="12">
        <v>78.316376307176355</v>
      </c>
      <c r="D10" s="14">
        <v>83.354026395219748</v>
      </c>
      <c r="E10" s="12">
        <v>92.156589957442677</v>
      </c>
    </row>
    <row r="11" spans="1:5" x14ac:dyDescent="0.3">
      <c r="A11" s="10" t="s">
        <v>213</v>
      </c>
      <c r="B11" s="12">
        <v>90.033720617698947</v>
      </c>
      <c r="C11" s="13">
        <v>100</v>
      </c>
      <c r="D11" s="14">
        <v>93.994092939673095</v>
      </c>
      <c r="E11" s="12">
        <v>99.980250918802966</v>
      </c>
    </row>
    <row r="12" spans="1:5" x14ac:dyDescent="0.3">
      <c r="A12" s="10" t="s">
        <v>214</v>
      </c>
      <c r="B12" s="13">
        <v>100</v>
      </c>
      <c r="C12" s="14">
        <v>87.408066327560846</v>
      </c>
      <c r="D12" s="14">
        <v>89.329038045512462</v>
      </c>
      <c r="E12" s="12">
        <v>97.003611670999163</v>
      </c>
    </row>
    <row r="13" spans="1:5" x14ac:dyDescent="0.3">
      <c r="A13" s="10" t="s">
        <v>216</v>
      </c>
      <c r="B13" s="13">
        <v>100</v>
      </c>
      <c r="C13" s="12">
        <v>91.428461181409887</v>
      </c>
      <c r="D13" s="12">
        <v>91.469982479398141</v>
      </c>
      <c r="E13" s="12">
        <v>97.942588783429159</v>
      </c>
    </row>
    <row r="14" spans="1:5" x14ac:dyDescent="0.3">
      <c r="A14" s="10" t="s">
        <v>217</v>
      </c>
      <c r="B14" s="13">
        <v>100</v>
      </c>
      <c r="C14" s="12">
        <v>75.645270186329313</v>
      </c>
      <c r="D14" s="12">
        <v>81.563577512075909</v>
      </c>
      <c r="E14" s="12">
        <v>90.935589567096414</v>
      </c>
    </row>
    <row r="15" spans="1:5" x14ac:dyDescent="0.3">
      <c r="A15" s="10" t="s">
        <v>219</v>
      </c>
      <c r="B15" s="13">
        <v>100</v>
      </c>
      <c r="C15" s="12">
        <v>76.001802018851777</v>
      </c>
      <c r="D15" s="17">
        <v>81.7900481300926</v>
      </c>
      <c r="E15" s="12">
        <v>91.121709872404239</v>
      </c>
    </row>
    <row r="16" spans="1:5" x14ac:dyDescent="0.3">
      <c r="A16" s="10" t="s">
        <v>221</v>
      </c>
      <c r="B16" s="13">
        <v>100</v>
      </c>
      <c r="C16" s="12">
        <v>86.254137093634824</v>
      </c>
      <c r="D16" s="12">
        <v>88.482879653582657</v>
      </c>
      <c r="E16" s="12">
        <v>95.892282392773637</v>
      </c>
    </row>
    <row r="17" spans="1:8" x14ac:dyDescent="0.3">
      <c r="A17" s="10" t="s">
        <v>223</v>
      </c>
      <c r="B17" s="13">
        <v>100</v>
      </c>
      <c r="C17" s="12">
        <v>83.714346085909185</v>
      </c>
      <c r="D17" s="12">
        <v>86.71543552109749</v>
      </c>
      <c r="E17" s="12">
        <v>94.596788204527854</v>
      </c>
    </row>
    <row r="18" spans="1:8" x14ac:dyDescent="0.3">
      <c r="A18" s="10" t="s">
        <v>225</v>
      </c>
      <c r="B18" s="13">
        <v>100</v>
      </c>
      <c r="C18" s="14">
        <v>86.763089398777197</v>
      </c>
      <c r="D18" s="12">
        <v>88.633404906087847</v>
      </c>
      <c r="E18" s="12">
        <v>96.010316465699901</v>
      </c>
    </row>
    <row r="19" spans="1:8" x14ac:dyDescent="0.3">
      <c r="A19" s="10" t="s">
        <v>45</v>
      </c>
      <c r="B19" s="13">
        <v>100</v>
      </c>
      <c r="C19" s="12">
        <v>88.020121225074789</v>
      </c>
      <c r="D19" s="12">
        <v>89.515512574153107</v>
      </c>
      <c r="E19" s="12">
        <v>97.935538437843121</v>
      </c>
    </row>
    <row r="20" spans="1:8" x14ac:dyDescent="0.3">
      <c r="A20" s="10" t="s">
        <v>15</v>
      </c>
      <c r="B20" s="13">
        <v>100</v>
      </c>
      <c r="C20" s="12">
        <v>88.616862752130956</v>
      </c>
      <c r="D20" s="14">
        <v>90.431074674286378</v>
      </c>
      <c r="E20" s="12">
        <v>96.814200824383377</v>
      </c>
    </row>
    <row r="21" spans="1:8" x14ac:dyDescent="0.3">
      <c r="A21" s="10" t="s">
        <v>6</v>
      </c>
      <c r="B21" s="12">
        <v>91.895465343611164</v>
      </c>
      <c r="C21" s="12">
        <v>99.12577757561327</v>
      </c>
      <c r="D21" s="12">
        <v>94.483497405067865</v>
      </c>
      <c r="E21" s="13">
        <v>100</v>
      </c>
    </row>
    <row r="22" spans="1:8" x14ac:dyDescent="0.3">
      <c r="A22" s="10" t="s">
        <v>227</v>
      </c>
      <c r="B22" s="13">
        <v>100</v>
      </c>
      <c r="C22" s="12">
        <v>83.359913311700325</v>
      </c>
      <c r="D22" s="12">
        <v>86.731269370658822</v>
      </c>
      <c r="E22" s="12">
        <v>94.553390093211647</v>
      </c>
    </row>
    <row r="23" spans="1:8" x14ac:dyDescent="0.3">
      <c r="A23" s="10" t="s">
        <v>229</v>
      </c>
      <c r="B23" s="13">
        <v>100</v>
      </c>
      <c r="C23" s="12">
        <v>73.186720408559509</v>
      </c>
      <c r="D23" s="14">
        <v>79.855029219832886</v>
      </c>
      <c r="E23" s="12">
        <v>89.684335018884909</v>
      </c>
    </row>
    <row r="24" spans="1:8" x14ac:dyDescent="0.3">
      <c r="A24" s="10" t="s">
        <v>231</v>
      </c>
      <c r="B24" s="12">
        <v>84.940766058396804</v>
      </c>
      <c r="C24" s="13">
        <v>100</v>
      </c>
      <c r="D24" s="12">
        <v>95.736808040720447</v>
      </c>
      <c r="E24" s="12">
        <v>95.269209687109054</v>
      </c>
    </row>
    <row r="27" spans="1:8" x14ac:dyDescent="0.3">
      <c r="A27" s="10" t="s">
        <v>235</v>
      </c>
    </row>
    <row r="28" spans="1:8" x14ac:dyDescent="0.3">
      <c r="A28" s="11" t="s">
        <v>148</v>
      </c>
      <c r="B28" s="11" t="s">
        <v>162</v>
      </c>
      <c r="C28" s="10" t="s">
        <v>166</v>
      </c>
      <c r="D28" s="11" t="s">
        <v>163</v>
      </c>
      <c r="E28" s="11" t="s">
        <v>167</v>
      </c>
      <c r="F28" s="11" t="s">
        <v>164</v>
      </c>
      <c r="G28" s="11" t="s">
        <v>168</v>
      </c>
      <c r="H28" s="11" t="s">
        <v>165</v>
      </c>
    </row>
    <row r="29" spans="1:8" x14ac:dyDescent="0.3">
      <c r="A29" s="10" t="s">
        <v>18</v>
      </c>
      <c r="B29" s="13">
        <v>100</v>
      </c>
      <c r="C29" s="15">
        <f t="shared" ref="C29:C44" si="0">D29-B29</f>
        <v>-18.558858135861755</v>
      </c>
      <c r="D29" s="12">
        <v>81.441141864138245</v>
      </c>
      <c r="E29" s="15">
        <f t="shared" ref="E29:E44" si="1">F29-B29</f>
        <v>-14.789644862522977</v>
      </c>
      <c r="F29" s="12">
        <v>85.210355137477023</v>
      </c>
      <c r="G29" s="15">
        <f t="shared" ref="G29:G44" si="2">H29-B29</f>
        <v>-6.4905480583708197</v>
      </c>
      <c r="H29" s="12">
        <v>93.50945194162918</v>
      </c>
    </row>
    <row r="30" spans="1:8" x14ac:dyDescent="0.3">
      <c r="A30" s="10" t="s">
        <v>66</v>
      </c>
      <c r="B30" s="13">
        <v>100</v>
      </c>
      <c r="C30" s="15">
        <f t="shared" si="0"/>
        <v>-21.683623692823645</v>
      </c>
      <c r="D30" s="12">
        <v>78.316376307176355</v>
      </c>
      <c r="E30" s="15">
        <f t="shared" si="1"/>
        <v>-16.645973604780252</v>
      </c>
      <c r="F30" s="14">
        <v>83.354026395219748</v>
      </c>
      <c r="G30" s="15">
        <f t="shared" si="2"/>
        <v>-7.8434100425573234</v>
      </c>
      <c r="H30" s="12">
        <v>92.156589957442677</v>
      </c>
    </row>
    <row r="31" spans="1:8" x14ac:dyDescent="0.3">
      <c r="A31" s="10" t="s">
        <v>213</v>
      </c>
      <c r="B31" s="12">
        <v>90.033720617698947</v>
      </c>
      <c r="C31" s="15">
        <f t="shared" si="0"/>
        <v>9.9662793823010531</v>
      </c>
      <c r="D31" s="13">
        <v>100</v>
      </c>
      <c r="E31" s="15">
        <f t="shared" si="1"/>
        <v>3.9603723219741482</v>
      </c>
      <c r="F31" s="14">
        <v>93.994092939673095</v>
      </c>
      <c r="G31" s="15">
        <f t="shared" si="2"/>
        <v>9.9465303011040191</v>
      </c>
      <c r="H31" s="12">
        <v>99.980250918802966</v>
      </c>
    </row>
    <row r="32" spans="1:8" x14ac:dyDescent="0.3">
      <c r="A32" s="10" t="s">
        <v>214</v>
      </c>
      <c r="B32" s="13">
        <v>100</v>
      </c>
      <c r="C32" s="15">
        <f t="shared" si="0"/>
        <v>-12.591933672439154</v>
      </c>
      <c r="D32" s="14">
        <v>87.408066327560846</v>
      </c>
      <c r="E32" s="15">
        <f t="shared" si="1"/>
        <v>-10.670961954487538</v>
      </c>
      <c r="F32" s="14">
        <v>89.329038045512462</v>
      </c>
      <c r="G32" s="15">
        <f t="shared" si="2"/>
        <v>-2.9963883290008368</v>
      </c>
      <c r="H32" s="12">
        <v>97.003611670999163</v>
      </c>
    </row>
    <row r="33" spans="1:8" x14ac:dyDescent="0.3">
      <c r="A33" s="10" t="s">
        <v>216</v>
      </c>
      <c r="B33" s="13">
        <v>100</v>
      </c>
      <c r="C33" s="15">
        <f t="shared" si="0"/>
        <v>-8.5715388185901134</v>
      </c>
      <c r="D33" s="12">
        <v>91.428461181409887</v>
      </c>
      <c r="E33" s="15">
        <f t="shared" si="1"/>
        <v>-8.5300175206018594</v>
      </c>
      <c r="F33" s="12">
        <v>91.469982479398141</v>
      </c>
      <c r="G33" s="15">
        <f t="shared" si="2"/>
        <v>-2.0574112165708414</v>
      </c>
      <c r="H33" s="12">
        <v>97.942588783429159</v>
      </c>
    </row>
    <row r="34" spans="1:8" x14ac:dyDescent="0.3">
      <c r="A34" s="10" t="s">
        <v>217</v>
      </c>
      <c r="B34" s="13">
        <v>100</v>
      </c>
      <c r="C34" s="15">
        <f t="shared" si="0"/>
        <v>-24.354729813670687</v>
      </c>
      <c r="D34" s="12">
        <v>75.645270186329313</v>
      </c>
      <c r="E34" s="15">
        <f t="shared" si="1"/>
        <v>-18.436422487924091</v>
      </c>
      <c r="F34" s="12">
        <v>81.563577512075909</v>
      </c>
      <c r="G34" s="15">
        <f t="shared" si="2"/>
        <v>-9.0644104329035855</v>
      </c>
      <c r="H34" s="12">
        <v>90.935589567096414</v>
      </c>
    </row>
    <row r="35" spans="1:8" x14ac:dyDescent="0.3">
      <c r="A35" s="10" t="s">
        <v>219</v>
      </c>
      <c r="B35" s="13">
        <v>100</v>
      </c>
      <c r="C35" s="15">
        <f t="shared" si="0"/>
        <v>-23.998197981148223</v>
      </c>
      <c r="D35" s="12">
        <v>76.001802018851777</v>
      </c>
      <c r="E35" s="15">
        <f t="shared" si="1"/>
        <v>-18.2099518699074</v>
      </c>
      <c r="F35" s="17">
        <v>81.7900481300926</v>
      </c>
      <c r="G35" s="15">
        <f t="shared" si="2"/>
        <v>-8.8782901275957613</v>
      </c>
      <c r="H35" s="12">
        <v>91.121709872404239</v>
      </c>
    </row>
    <row r="36" spans="1:8" x14ac:dyDescent="0.3">
      <c r="A36" s="10" t="s">
        <v>221</v>
      </c>
      <c r="B36" s="13">
        <v>100</v>
      </c>
      <c r="C36" s="15">
        <f t="shared" si="0"/>
        <v>-13.745862906365176</v>
      </c>
      <c r="D36" s="12">
        <v>86.254137093634824</v>
      </c>
      <c r="E36" s="15">
        <f t="shared" si="1"/>
        <v>-11.517120346417343</v>
      </c>
      <c r="F36" s="12">
        <v>88.482879653582657</v>
      </c>
      <c r="G36" s="15">
        <f t="shared" si="2"/>
        <v>-4.1077176072263626</v>
      </c>
      <c r="H36" s="12">
        <v>95.892282392773637</v>
      </c>
    </row>
    <row r="37" spans="1:8" x14ac:dyDescent="0.3">
      <c r="A37" s="10" t="s">
        <v>223</v>
      </c>
      <c r="B37" s="13">
        <v>100</v>
      </c>
      <c r="C37" s="15">
        <f t="shared" si="0"/>
        <v>-16.285653914090815</v>
      </c>
      <c r="D37" s="12">
        <v>83.714346085909185</v>
      </c>
      <c r="E37" s="15">
        <f t="shared" si="1"/>
        <v>-13.28456447890251</v>
      </c>
      <c r="F37" s="12">
        <v>86.71543552109749</v>
      </c>
      <c r="G37" s="15">
        <f t="shared" si="2"/>
        <v>-5.4032117954721457</v>
      </c>
      <c r="H37" s="12">
        <v>94.596788204527854</v>
      </c>
    </row>
    <row r="38" spans="1:8" x14ac:dyDescent="0.3">
      <c r="A38" s="10" t="s">
        <v>225</v>
      </c>
      <c r="B38" s="13">
        <v>100</v>
      </c>
      <c r="C38" s="15">
        <f t="shared" si="0"/>
        <v>-13.236910601222803</v>
      </c>
      <c r="D38" s="14">
        <v>86.763089398777197</v>
      </c>
      <c r="E38" s="15">
        <f t="shared" si="1"/>
        <v>-11.366595093912153</v>
      </c>
      <c r="F38" s="12">
        <v>88.633404906087847</v>
      </c>
      <c r="G38" s="15">
        <f t="shared" si="2"/>
        <v>-3.9896835343000987</v>
      </c>
      <c r="H38" s="12">
        <v>96.010316465699901</v>
      </c>
    </row>
    <row r="39" spans="1:8" x14ac:dyDescent="0.3">
      <c r="A39" s="10" t="s">
        <v>45</v>
      </c>
      <c r="B39" s="13">
        <v>100</v>
      </c>
      <c r="C39" s="15">
        <f t="shared" si="0"/>
        <v>-11.979878774925211</v>
      </c>
      <c r="D39" s="12">
        <v>88.020121225074789</v>
      </c>
      <c r="E39" s="15">
        <f t="shared" si="1"/>
        <v>-10.484487425846893</v>
      </c>
      <c r="F39" s="12">
        <v>89.515512574153107</v>
      </c>
      <c r="G39" s="15">
        <f t="shared" si="2"/>
        <v>-2.0644615621568789</v>
      </c>
      <c r="H39" s="12">
        <v>97.935538437843121</v>
      </c>
    </row>
    <row r="40" spans="1:8" x14ac:dyDescent="0.3">
      <c r="A40" s="10" t="s">
        <v>15</v>
      </c>
      <c r="B40" s="13">
        <v>100</v>
      </c>
      <c r="C40" s="15">
        <f t="shared" si="0"/>
        <v>-11.383137247869044</v>
      </c>
      <c r="D40" s="12">
        <v>88.616862752130956</v>
      </c>
      <c r="E40" s="15">
        <f t="shared" si="1"/>
        <v>-9.5689253257136215</v>
      </c>
      <c r="F40" s="14">
        <v>90.431074674286378</v>
      </c>
      <c r="G40" s="15">
        <f t="shared" si="2"/>
        <v>-3.1857991756166228</v>
      </c>
      <c r="H40" s="12">
        <v>96.814200824383377</v>
      </c>
    </row>
    <row r="41" spans="1:8" x14ac:dyDescent="0.3">
      <c r="A41" s="10" t="s">
        <v>6</v>
      </c>
      <c r="B41" s="12">
        <v>91.895465343611164</v>
      </c>
      <c r="C41" s="15">
        <f t="shared" si="0"/>
        <v>7.230312232002106</v>
      </c>
      <c r="D41" s="12">
        <v>99.12577757561327</v>
      </c>
      <c r="E41" s="15">
        <f t="shared" si="1"/>
        <v>2.5880320614567012</v>
      </c>
      <c r="F41" s="12">
        <v>94.483497405067865</v>
      </c>
      <c r="G41" s="15">
        <f t="shared" si="2"/>
        <v>8.1045346563888359</v>
      </c>
      <c r="H41" s="13">
        <v>100</v>
      </c>
    </row>
    <row r="42" spans="1:8" x14ac:dyDescent="0.3">
      <c r="A42" s="10" t="s">
        <v>227</v>
      </c>
      <c r="B42" s="13">
        <v>100</v>
      </c>
      <c r="C42" s="15">
        <f t="shared" si="0"/>
        <v>-16.640086688299675</v>
      </c>
      <c r="D42" s="12">
        <v>83.359913311700325</v>
      </c>
      <c r="E42" s="15">
        <f t="shared" si="1"/>
        <v>-13.268730629341178</v>
      </c>
      <c r="F42" s="12">
        <v>86.731269370658822</v>
      </c>
      <c r="G42" s="15">
        <f t="shared" si="2"/>
        <v>-5.4466099067883533</v>
      </c>
      <c r="H42" s="12">
        <v>94.553390093211647</v>
      </c>
    </row>
    <row r="43" spans="1:8" x14ac:dyDescent="0.3">
      <c r="A43" s="10" t="s">
        <v>229</v>
      </c>
      <c r="B43" s="13">
        <v>100</v>
      </c>
      <c r="C43" s="15">
        <f t="shared" si="0"/>
        <v>-26.813279591440491</v>
      </c>
      <c r="D43" s="12">
        <v>73.186720408559509</v>
      </c>
      <c r="E43" s="15">
        <f t="shared" si="1"/>
        <v>-20.144970780167114</v>
      </c>
      <c r="F43" s="14">
        <v>79.855029219832886</v>
      </c>
      <c r="G43" s="15">
        <f t="shared" si="2"/>
        <v>-10.315664981115091</v>
      </c>
      <c r="H43" s="12">
        <v>89.684335018884909</v>
      </c>
    </row>
    <row r="44" spans="1:8" x14ac:dyDescent="0.3">
      <c r="A44" s="10" t="s">
        <v>231</v>
      </c>
      <c r="B44" s="12">
        <v>84.940766058396804</v>
      </c>
      <c r="C44" s="15">
        <f t="shared" si="0"/>
        <v>15.059233941603196</v>
      </c>
      <c r="D44" s="13">
        <v>100</v>
      </c>
      <c r="E44" s="15">
        <f t="shared" si="1"/>
        <v>10.796041982323644</v>
      </c>
      <c r="F44" s="12">
        <v>95.736808040720447</v>
      </c>
      <c r="G44" s="15">
        <f t="shared" si="2"/>
        <v>10.32844362871225</v>
      </c>
      <c r="H44" s="12">
        <v>95.269209687109054</v>
      </c>
    </row>
    <row r="47" spans="1:8" x14ac:dyDescent="0.3">
      <c r="A47" s="10" t="s">
        <v>235</v>
      </c>
    </row>
    <row r="48" spans="1:8" x14ac:dyDescent="0.3">
      <c r="A48" s="10" t="s">
        <v>148</v>
      </c>
      <c r="B48" s="10" t="s">
        <v>166</v>
      </c>
      <c r="C48" s="10" t="s">
        <v>167</v>
      </c>
      <c r="D48" s="10" t="s">
        <v>168</v>
      </c>
    </row>
    <row r="49" spans="1:4" x14ac:dyDescent="0.3">
      <c r="A49" s="10" t="s">
        <v>18</v>
      </c>
      <c r="B49" s="10">
        <v>-18.558858135861755</v>
      </c>
      <c r="C49" s="10">
        <v>-14.789644862522977</v>
      </c>
      <c r="D49" s="10">
        <v>-6.4905480583708197</v>
      </c>
    </row>
    <row r="50" spans="1:4" x14ac:dyDescent="0.3">
      <c r="A50" s="10" t="s">
        <v>66</v>
      </c>
      <c r="B50" s="10">
        <v>-21.683623692823645</v>
      </c>
      <c r="C50" s="10">
        <v>-16.645973604780252</v>
      </c>
      <c r="D50" s="10">
        <v>-7.8434100425573234</v>
      </c>
    </row>
    <row r="51" spans="1:4" x14ac:dyDescent="0.3">
      <c r="A51" s="10" t="s">
        <v>213</v>
      </c>
      <c r="B51" s="10">
        <v>9.9662793823010531</v>
      </c>
      <c r="C51" s="10">
        <v>3.9603723219741482</v>
      </c>
      <c r="D51" s="10">
        <v>9.9465303011040191</v>
      </c>
    </row>
    <row r="52" spans="1:4" x14ac:dyDescent="0.3">
      <c r="A52" s="10" t="s">
        <v>214</v>
      </c>
      <c r="B52" s="10">
        <v>-12.591933672439154</v>
      </c>
      <c r="C52" s="10">
        <v>-10.670961954487538</v>
      </c>
      <c r="D52" s="10">
        <v>-2.9963883290008368</v>
      </c>
    </row>
    <row r="53" spans="1:4" x14ac:dyDescent="0.3">
      <c r="A53" s="10" t="s">
        <v>216</v>
      </c>
      <c r="B53" s="10">
        <v>-8.5715388185901134</v>
      </c>
      <c r="C53" s="10">
        <v>-8.5300175206018594</v>
      </c>
      <c r="D53" s="10">
        <v>-2.0574112165708414</v>
      </c>
    </row>
    <row r="54" spans="1:4" x14ac:dyDescent="0.3">
      <c r="A54" s="10" t="s">
        <v>217</v>
      </c>
      <c r="B54" s="10">
        <v>-24.354729813670687</v>
      </c>
      <c r="C54" s="10">
        <v>-18.436422487924091</v>
      </c>
      <c r="D54" s="10">
        <v>-9.0644104329035855</v>
      </c>
    </row>
    <row r="55" spans="1:4" x14ac:dyDescent="0.3">
      <c r="A55" s="10" t="s">
        <v>219</v>
      </c>
      <c r="B55" s="10">
        <v>-23.998197981148223</v>
      </c>
      <c r="C55" s="10">
        <v>-18.2099518699074</v>
      </c>
      <c r="D55" s="10">
        <v>-8.8782901275957613</v>
      </c>
    </row>
    <row r="56" spans="1:4" x14ac:dyDescent="0.3">
      <c r="A56" s="10" t="s">
        <v>221</v>
      </c>
      <c r="B56" s="10">
        <v>-13.745862906365176</v>
      </c>
      <c r="C56" s="10">
        <v>-11.517120346417343</v>
      </c>
      <c r="D56" s="10">
        <v>-4.1077176072263626</v>
      </c>
    </row>
    <row r="57" spans="1:4" x14ac:dyDescent="0.3">
      <c r="A57" s="10" t="s">
        <v>223</v>
      </c>
      <c r="B57" s="10">
        <v>-16.285653914090815</v>
      </c>
      <c r="C57" s="10">
        <v>-13.28456447890251</v>
      </c>
      <c r="D57" s="10">
        <v>-5.4032117954721457</v>
      </c>
    </row>
    <row r="58" spans="1:4" x14ac:dyDescent="0.3">
      <c r="A58" s="10" t="s">
        <v>225</v>
      </c>
      <c r="B58" s="10">
        <v>-13.236910601222803</v>
      </c>
      <c r="C58" s="10">
        <v>-11.366595093912153</v>
      </c>
      <c r="D58" s="10">
        <v>-3.9896835343000987</v>
      </c>
    </row>
    <row r="59" spans="1:4" x14ac:dyDescent="0.3">
      <c r="A59" s="10" t="s">
        <v>45</v>
      </c>
      <c r="B59" s="10">
        <v>-11.979878774925211</v>
      </c>
      <c r="C59" s="10">
        <v>-10.484487425846893</v>
      </c>
      <c r="D59" s="10">
        <v>-2.0644615621568789</v>
      </c>
    </row>
    <row r="60" spans="1:4" x14ac:dyDescent="0.3">
      <c r="A60" s="10" t="s">
        <v>15</v>
      </c>
      <c r="B60" s="10">
        <v>-11.383137247869044</v>
      </c>
      <c r="C60" s="10">
        <v>-9.5689253257136215</v>
      </c>
      <c r="D60" s="10">
        <v>-3.1857991756166228</v>
      </c>
    </row>
    <row r="61" spans="1:4" x14ac:dyDescent="0.3">
      <c r="A61" s="10" t="s">
        <v>6</v>
      </c>
      <c r="B61" s="10">
        <v>7.230312232002106</v>
      </c>
      <c r="C61" s="10">
        <v>2.5880320614567012</v>
      </c>
      <c r="D61" s="10">
        <v>8.1045346563888359</v>
      </c>
    </row>
    <row r="62" spans="1:4" x14ac:dyDescent="0.3">
      <c r="A62" s="10" t="s">
        <v>227</v>
      </c>
      <c r="B62" s="10">
        <v>-16.640086688299675</v>
      </c>
      <c r="C62" s="10">
        <v>-13.268730629341178</v>
      </c>
      <c r="D62" s="10">
        <v>-5.4466099067883533</v>
      </c>
    </row>
    <row r="63" spans="1:4" x14ac:dyDescent="0.3">
      <c r="A63" s="10" t="s">
        <v>229</v>
      </c>
      <c r="B63" s="10">
        <v>-26.813279591440491</v>
      </c>
      <c r="C63" s="10">
        <v>-20.144970780167114</v>
      </c>
      <c r="D63" s="10">
        <v>-10.315664981115091</v>
      </c>
    </row>
    <row r="64" spans="1:4" x14ac:dyDescent="0.3">
      <c r="A64" s="10" t="s">
        <v>231</v>
      </c>
      <c r="B64" s="10">
        <v>15.059233941603196</v>
      </c>
      <c r="C64" s="10">
        <v>10.796041982323644</v>
      </c>
      <c r="D64" s="10">
        <v>10.32844362871225</v>
      </c>
    </row>
    <row r="67" spans="1:4" x14ac:dyDescent="0.3">
      <c r="A67" s="10" t="s">
        <v>148</v>
      </c>
      <c r="B67" s="10" t="s">
        <v>166</v>
      </c>
      <c r="C67" s="10" t="s">
        <v>167</v>
      </c>
      <c r="D67" s="10" t="s">
        <v>168</v>
      </c>
    </row>
    <row r="68" spans="1:4" x14ac:dyDescent="0.3">
      <c r="A68" s="10" t="s">
        <v>18</v>
      </c>
      <c r="B68" s="10">
        <f>B49+100</f>
        <v>81.441141864138245</v>
      </c>
      <c r="C68" s="10">
        <f t="shared" ref="C68:D68" si="3">C49+100</f>
        <v>85.210355137477023</v>
      </c>
      <c r="D68" s="10">
        <f t="shared" si="3"/>
        <v>93.50945194162918</v>
      </c>
    </row>
    <row r="69" spans="1:4" x14ac:dyDescent="0.3">
      <c r="A69" s="10" t="s">
        <v>66</v>
      </c>
      <c r="B69" s="10">
        <f t="shared" ref="B69:D83" si="4">B50+100</f>
        <v>78.316376307176355</v>
      </c>
      <c r="C69" s="10">
        <f t="shared" si="4"/>
        <v>83.354026395219748</v>
      </c>
      <c r="D69" s="10">
        <f t="shared" si="4"/>
        <v>92.156589957442677</v>
      </c>
    </row>
    <row r="70" spans="1:4" x14ac:dyDescent="0.3">
      <c r="A70" s="10" t="s">
        <v>213</v>
      </c>
      <c r="B70" s="10">
        <f t="shared" si="4"/>
        <v>109.96627938230105</v>
      </c>
      <c r="C70" s="10">
        <f t="shared" si="4"/>
        <v>103.96037232197415</v>
      </c>
      <c r="D70" s="10">
        <f t="shared" si="4"/>
        <v>109.94653030110402</v>
      </c>
    </row>
    <row r="71" spans="1:4" x14ac:dyDescent="0.3">
      <c r="A71" s="10" t="s">
        <v>214</v>
      </c>
      <c r="B71" s="10">
        <f t="shared" si="4"/>
        <v>87.408066327560846</v>
      </c>
      <c r="C71" s="10">
        <f t="shared" si="4"/>
        <v>89.329038045512462</v>
      </c>
      <c r="D71" s="10">
        <f t="shared" si="4"/>
        <v>97.003611670999163</v>
      </c>
    </row>
    <row r="72" spans="1:4" x14ac:dyDescent="0.3">
      <c r="A72" s="10" t="s">
        <v>216</v>
      </c>
      <c r="B72" s="10">
        <f t="shared" si="4"/>
        <v>91.428461181409887</v>
      </c>
      <c r="C72" s="10">
        <f t="shared" si="4"/>
        <v>91.469982479398141</v>
      </c>
      <c r="D72" s="10">
        <f t="shared" si="4"/>
        <v>97.942588783429159</v>
      </c>
    </row>
    <row r="73" spans="1:4" x14ac:dyDescent="0.3">
      <c r="A73" s="10" t="s">
        <v>217</v>
      </c>
      <c r="B73" s="10">
        <f t="shared" si="4"/>
        <v>75.645270186329313</v>
      </c>
      <c r="C73" s="10">
        <f t="shared" si="4"/>
        <v>81.563577512075909</v>
      </c>
      <c r="D73" s="10">
        <f t="shared" si="4"/>
        <v>90.935589567096414</v>
      </c>
    </row>
    <row r="74" spans="1:4" x14ac:dyDescent="0.3">
      <c r="A74" s="10" t="s">
        <v>219</v>
      </c>
      <c r="B74" s="10">
        <f t="shared" si="4"/>
        <v>76.001802018851777</v>
      </c>
      <c r="C74" s="10">
        <f t="shared" si="4"/>
        <v>81.7900481300926</v>
      </c>
      <c r="D74" s="10">
        <f t="shared" si="4"/>
        <v>91.121709872404239</v>
      </c>
    </row>
    <row r="75" spans="1:4" x14ac:dyDescent="0.3">
      <c r="A75" s="10" t="s">
        <v>221</v>
      </c>
      <c r="B75" s="10">
        <f t="shared" si="4"/>
        <v>86.254137093634824</v>
      </c>
      <c r="C75" s="10">
        <f t="shared" si="4"/>
        <v>88.482879653582657</v>
      </c>
      <c r="D75" s="10">
        <f t="shared" si="4"/>
        <v>95.892282392773637</v>
      </c>
    </row>
    <row r="76" spans="1:4" x14ac:dyDescent="0.3">
      <c r="A76" s="10" t="s">
        <v>223</v>
      </c>
      <c r="B76" s="10">
        <f t="shared" si="4"/>
        <v>83.714346085909185</v>
      </c>
      <c r="C76" s="10">
        <f t="shared" si="4"/>
        <v>86.71543552109749</v>
      </c>
      <c r="D76" s="10">
        <f t="shared" si="4"/>
        <v>94.596788204527854</v>
      </c>
    </row>
    <row r="77" spans="1:4" x14ac:dyDescent="0.3">
      <c r="A77" s="10" t="s">
        <v>225</v>
      </c>
      <c r="B77" s="10">
        <f t="shared" si="4"/>
        <v>86.763089398777197</v>
      </c>
      <c r="C77" s="10">
        <f t="shared" si="4"/>
        <v>88.633404906087847</v>
      </c>
      <c r="D77" s="10">
        <f t="shared" si="4"/>
        <v>96.010316465699901</v>
      </c>
    </row>
    <row r="78" spans="1:4" x14ac:dyDescent="0.3">
      <c r="A78" s="10" t="s">
        <v>45</v>
      </c>
      <c r="B78" s="10">
        <f t="shared" si="4"/>
        <v>88.020121225074789</v>
      </c>
      <c r="C78" s="10">
        <f t="shared" si="4"/>
        <v>89.515512574153107</v>
      </c>
      <c r="D78" s="10">
        <f t="shared" si="4"/>
        <v>97.935538437843121</v>
      </c>
    </row>
    <row r="79" spans="1:4" x14ac:dyDescent="0.3">
      <c r="A79" s="10" t="s">
        <v>15</v>
      </c>
      <c r="B79" s="10">
        <f t="shared" si="4"/>
        <v>88.616862752130956</v>
      </c>
      <c r="C79" s="10">
        <f t="shared" si="4"/>
        <v>90.431074674286378</v>
      </c>
      <c r="D79" s="10">
        <f t="shared" si="4"/>
        <v>96.814200824383377</v>
      </c>
    </row>
    <row r="80" spans="1:4" x14ac:dyDescent="0.3">
      <c r="A80" s="10" t="s">
        <v>6</v>
      </c>
      <c r="B80" s="10">
        <f t="shared" si="4"/>
        <v>107.23031223200211</v>
      </c>
      <c r="C80" s="10">
        <f t="shared" si="4"/>
        <v>102.5880320614567</v>
      </c>
      <c r="D80" s="10">
        <f t="shared" si="4"/>
        <v>108.10453465638884</v>
      </c>
    </row>
    <row r="81" spans="1:4" x14ac:dyDescent="0.3">
      <c r="A81" s="10" t="s">
        <v>227</v>
      </c>
      <c r="B81" s="10">
        <f t="shared" si="4"/>
        <v>83.359913311700325</v>
      </c>
      <c r="C81" s="10">
        <f t="shared" si="4"/>
        <v>86.731269370658822</v>
      </c>
      <c r="D81" s="10">
        <f t="shared" si="4"/>
        <v>94.553390093211647</v>
      </c>
    </row>
    <row r="82" spans="1:4" x14ac:dyDescent="0.3">
      <c r="A82" s="10" t="s">
        <v>229</v>
      </c>
      <c r="B82" s="10">
        <f t="shared" si="4"/>
        <v>73.186720408559509</v>
      </c>
      <c r="C82" s="10">
        <f t="shared" si="4"/>
        <v>79.855029219832886</v>
      </c>
      <c r="D82" s="10">
        <f t="shared" si="4"/>
        <v>89.684335018884909</v>
      </c>
    </row>
    <row r="83" spans="1:4" x14ac:dyDescent="0.3">
      <c r="A83" s="10" t="s">
        <v>231</v>
      </c>
      <c r="B83" s="10">
        <f t="shared" si="4"/>
        <v>115.0592339416032</v>
      </c>
      <c r="C83" s="10">
        <f t="shared" si="4"/>
        <v>110.79604198232364</v>
      </c>
      <c r="D83" s="10">
        <f t="shared" si="4"/>
        <v>110.32844362871225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B1" zoomScale="130" zoomScaleNormal="130" workbookViewId="0">
      <selection activeCell="Y37" sqref="Y37"/>
    </sheetView>
  </sheetViews>
  <sheetFormatPr defaultRowHeight="13.2" x14ac:dyDescent="0.25"/>
  <cols>
    <col min="1" max="16384" width="8.88671875" style="8"/>
  </cols>
  <sheetData>
    <row r="1" spans="1:22" x14ac:dyDescent="0.25">
      <c r="A1" s="8" t="s">
        <v>20</v>
      </c>
      <c r="B1" s="8" t="s">
        <v>40</v>
      </c>
      <c r="C1" s="8" t="s">
        <v>61</v>
      </c>
      <c r="D1" s="19">
        <v>43198</v>
      </c>
      <c r="E1" s="8" t="s">
        <v>17</v>
      </c>
      <c r="F1" s="20">
        <v>0.62500128472222205</v>
      </c>
    </row>
    <row r="2" spans="1:22" x14ac:dyDescent="0.25">
      <c r="A2" s="8" t="s">
        <v>41</v>
      </c>
      <c r="B2" s="8" t="s">
        <v>13</v>
      </c>
    </row>
    <row r="4" spans="1:22" x14ac:dyDescent="0.25">
      <c r="A4" s="8" t="s">
        <v>69</v>
      </c>
      <c r="B4" s="8" t="s">
        <v>134</v>
      </c>
      <c r="I4" s="8" t="s">
        <v>69</v>
      </c>
      <c r="J4" s="8" t="s">
        <v>134</v>
      </c>
      <c r="Q4" s="8" t="s">
        <v>69</v>
      </c>
      <c r="R4" s="8" t="s">
        <v>134</v>
      </c>
    </row>
    <row r="5" spans="1:22" x14ac:dyDescent="0.25">
      <c r="A5" s="8" t="s">
        <v>39</v>
      </c>
      <c r="B5" s="8" t="s">
        <v>40</v>
      </c>
      <c r="I5" s="8" t="s">
        <v>39</v>
      </c>
      <c r="J5" s="8" t="s">
        <v>40</v>
      </c>
      <c r="Q5" s="8" t="s">
        <v>39</v>
      </c>
      <c r="R5" s="8" t="s">
        <v>40</v>
      </c>
    </row>
    <row r="6" spans="1:22" x14ac:dyDescent="0.25">
      <c r="A6" s="8" t="s">
        <v>137</v>
      </c>
      <c r="B6" s="8" t="s">
        <v>179</v>
      </c>
      <c r="I6" s="8" t="s">
        <v>137</v>
      </c>
      <c r="J6" s="8" t="s">
        <v>179</v>
      </c>
      <c r="Q6" s="8" t="s">
        <v>137</v>
      </c>
      <c r="R6" s="8" t="s">
        <v>179</v>
      </c>
    </row>
    <row r="7" spans="1:22" x14ac:dyDescent="0.25">
      <c r="A7" s="8" t="s">
        <v>140</v>
      </c>
      <c r="B7" s="8" t="s">
        <v>180</v>
      </c>
      <c r="I7" s="8" t="s">
        <v>140</v>
      </c>
      <c r="J7" s="8" t="s">
        <v>180</v>
      </c>
      <c r="Q7" s="8" t="s">
        <v>140</v>
      </c>
      <c r="R7" s="8" t="s">
        <v>180</v>
      </c>
    </row>
    <row r="8" spans="1:22" x14ac:dyDescent="0.25">
      <c r="A8" s="8" t="s">
        <v>142</v>
      </c>
      <c r="B8" s="8" t="s">
        <v>181</v>
      </c>
      <c r="I8" s="8" t="s">
        <v>142</v>
      </c>
      <c r="J8" s="8" t="s">
        <v>181</v>
      </c>
      <c r="Q8" s="8" t="s">
        <v>142</v>
      </c>
      <c r="R8" s="8" t="s">
        <v>181</v>
      </c>
    </row>
    <row r="9" spans="1:22" x14ac:dyDescent="0.25">
      <c r="A9" s="8" t="s">
        <v>160</v>
      </c>
      <c r="B9" s="8" t="s">
        <v>182</v>
      </c>
      <c r="I9" s="8" t="s">
        <v>160</v>
      </c>
      <c r="J9" s="8" t="s">
        <v>182</v>
      </c>
      <c r="Q9" s="8" t="s">
        <v>160</v>
      </c>
      <c r="R9" s="8" t="s">
        <v>182</v>
      </c>
    </row>
    <row r="10" spans="1:22" x14ac:dyDescent="0.25">
      <c r="A10" s="8" t="s">
        <v>49</v>
      </c>
      <c r="B10" s="8" t="s">
        <v>201</v>
      </c>
      <c r="I10" s="8" t="s">
        <v>49</v>
      </c>
      <c r="J10" s="8" t="s">
        <v>201</v>
      </c>
      <c r="Q10" s="8" t="s">
        <v>49</v>
      </c>
      <c r="R10" s="8" t="s">
        <v>201</v>
      </c>
    </row>
    <row r="11" spans="1:22" x14ac:dyDescent="0.25">
      <c r="A11" s="8" t="s">
        <v>60</v>
      </c>
      <c r="B11" s="8" t="s">
        <v>62</v>
      </c>
      <c r="I11" s="8" t="s">
        <v>60</v>
      </c>
      <c r="J11" s="8" t="s">
        <v>202</v>
      </c>
      <c r="Q11" s="8" t="s">
        <v>60</v>
      </c>
      <c r="R11" s="8" t="s">
        <v>203</v>
      </c>
    </row>
    <row r="13" spans="1:22" x14ac:dyDescent="0.25">
      <c r="A13" s="8" t="s">
        <v>22</v>
      </c>
      <c r="B13" s="8" t="s">
        <v>43</v>
      </c>
      <c r="C13" s="8" t="s">
        <v>183</v>
      </c>
      <c r="D13" s="8" t="s">
        <v>184</v>
      </c>
      <c r="E13" s="8" t="s">
        <v>185</v>
      </c>
      <c r="F13" s="8" t="s">
        <v>186</v>
      </c>
      <c r="I13" s="8" t="s">
        <v>22</v>
      </c>
      <c r="J13" s="8" t="s">
        <v>43</v>
      </c>
      <c r="K13" s="8" t="s">
        <v>183</v>
      </c>
      <c r="L13" s="8" t="s">
        <v>184</v>
      </c>
      <c r="M13" s="8" t="s">
        <v>185</v>
      </c>
      <c r="N13" s="8" t="s">
        <v>186</v>
      </c>
      <c r="Q13" s="8" t="s">
        <v>22</v>
      </c>
      <c r="R13" s="8" t="s">
        <v>43</v>
      </c>
      <c r="S13" s="8" t="s">
        <v>183</v>
      </c>
      <c r="T13" s="8" t="s">
        <v>184</v>
      </c>
      <c r="U13" s="8" t="s">
        <v>185</v>
      </c>
      <c r="V13" s="8" t="s">
        <v>186</v>
      </c>
    </row>
    <row r="14" spans="1:22" x14ac:dyDescent="0.25">
      <c r="A14" s="8" t="s">
        <v>18</v>
      </c>
      <c r="B14" s="8" t="s">
        <v>59</v>
      </c>
      <c r="C14" s="8">
        <v>23.4356693009221</v>
      </c>
      <c r="D14" s="8">
        <v>29.363853235731</v>
      </c>
      <c r="E14" s="8">
        <v>26.869243334458499</v>
      </c>
      <c r="F14" s="8">
        <v>26.8866653718053</v>
      </c>
      <c r="I14" s="8" t="s">
        <v>18</v>
      </c>
      <c r="J14" s="8" t="s">
        <v>211</v>
      </c>
      <c r="K14" s="8">
        <v>2.5418326923780099E-3</v>
      </c>
      <c r="L14" s="8">
        <v>3.1848035219473698E-3</v>
      </c>
      <c r="M14" s="8">
        <v>2.9142381320553701E-3</v>
      </c>
      <c r="N14" s="8">
        <v>2.916127726226E-3</v>
      </c>
      <c r="Q14" s="8" t="s">
        <v>18</v>
      </c>
      <c r="R14" s="8" t="s">
        <v>232</v>
      </c>
      <c r="S14" s="8">
        <v>0.169463985600843</v>
      </c>
      <c r="T14" s="8">
        <v>0.212330850808231</v>
      </c>
      <c r="U14" s="8">
        <v>0.19429225626413099</v>
      </c>
      <c r="V14" s="8">
        <v>0.19441823550748799</v>
      </c>
    </row>
    <row r="15" spans="1:22" x14ac:dyDescent="0.25">
      <c r="A15" s="8" t="s">
        <v>66</v>
      </c>
      <c r="B15" s="8" t="s">
        <v>0</v>
      </c>
      <c r="C15" s="8">
        <v>2.8985270075053001E-6</v>
      </c>
      <c r="D15" s="8">
        <v>2.9079464903623099E-6</v>
      </c>
      <c r="E15" s="8">
        <v>2.8658655282441198E-6</v>
      </c>
      <c r="F15" s="8">
        <v>2.98754980150605E-6</v>
      </c>
      <c r="I15" s="8" t="s">
        <v>66</v>
      </c>
      <c r="J15" s="8" t="s">
        <v>211</v>
      </c>
      <c r="K15" s="8">
        <v>1.3419107589756699E-4</v>
      </c>
      <c r="L15" s="8">
        <v>1.34627163101761E-4</v>
      </c>
      <c r="M15" s="8">
        <v>1.32678970255248E-4</v>
      </c>
      <c r="N15" s="8">
        <v>1.3831250187546401E-4</v>
      </c>
      <c r="Q15" s="8" t="s">
        <v>66</v>
      </c>
      <c r="R15" s="8" t="s">
        <v>232</v>
      </c>
      <c r="S15" s="8">
        <v>8.9465190300908101E-3</v>
      </c>
      <c r="T15" s="8">
        <v>8.9755929639943801E-3</v>
      </c>
      <c r="U15" s="8">
        <v>8.8457069469173796E-3</v>
      </c>
      <c r="V15" s="8">
        <v>9.2212945000372092E-3</v>
      </c>
    </row>
    <row r="16" spans="1:22" x14ac:dyDescent="0.25">
      <c r="A16" s="8" t="s">
        <v>213</v>
      </c>
      <c r="B16" s="8" t="s">
        <v>212</v>
      </c>
      <c r="C16" s="8">
        <v>5.9048520570009599E-5</v>
      </c>
      <c r="D16" s="8">
        <v>7.9267548497139904E-5</v>
      </c>
      <c r="E16" s="8">
        <v>7.0548687731145296E-5</v>
      </c>
      <c r="F16" s="8">
        <v>7.3370352679545599E-5</v>
      </c>
      <c r="I16" s="8" t="s">
        <v>213</v>
      </c>
      <c r="J16" s="8" t="s">
        <v>211</v>
      </c>
      <c r="K16" s="8">
        <v>0.110785062837835</v>
      </c>
      <c r="L16" s="8">
        <v>0.14871939646387899</v>
      </c>
      <c r="M16" s="8">
        <v>0.13236133146054199</v>
      </c>
      <c r="N16" s="8">
        <v>0.13765525458678299</v>
      </c>
      <c r="Q16" s="8" t="s">
        <v>213</v>
      </c>
      <c r="R16" s="8" t="s">
        <v>232</v>
      </c>
      <c r="S16" s="8">
        <v>7.3860401393984496</v>
      </c>
      <c r="T16" s="8">
        <v>9.9151221622467993</v>
      </c>
      <c r="U16" s="8">
        <v>8.8245299684743603</v>
      </c>
      <c r="V16" s="8">
        <v>9.1774758233008402</v>
      </c>
    </row>
    <row r="17" spans="1:22" x14ac:dyDescent="0.25">
      <c r="A17" s="8" t="s">
        <v>214</v>
      </c>
      <c r="B17" s="8" t="s">
        <v>212</v>
      </c>
      <c r="C17" s="8">
        <v>4.6901492702558298E-6</v>
      </c>
      <c r="D17" s="8">
        <v>5.3504191680513604E-6</v>
      </c>
      <c r="E17" s="8">
        <v>5.0352449871786201E-6</v>
      </c>
      <c r="F17" s="8">
        <v>5.2085430582316799E-6</v>
      </c>
      <c r="I17" s="8" t="s">
        <v>214</v>
      </c>
      <c r="J17" s="8" t="s">
        <v>211</v>
      </c>
      <c r="K17" s="8">
        <v>0.127104452268715</v>
      </c>
      <c r="L17" s="8">
        <v>0.14499796457994199</v>
      </c>
      <c r="M17" s="8">
        <v>0.13645664972603699</v>
      </c>
      <c r="N17" s="8">
        <v>0.141153079440996</v>
      </c>
      <c r="Q17" s="8" t="s">
        <v>214</v>
      </c>
      <c r="R17" s="8" t="s">
        <v>232</v>
      </c>
      <c r="S17" s="8">
        <v>8.4740538327551391</v>
      </c>
      <c r="T17" s="8">
        <v>9.6670142985447303</v>
      </c>
      <c r="U17" s="8">
        <v>9.0975648372348594</v>
      </c>
      <c r="V17" s="8">
        <v>9.4106758063312004</v>
      </c>
    </row>
    <row r="18" spans="1:22" x14ac:dyDescent="0.25">
      <c r="A18" s="8" t="s">
        <v>216</v>
      </c>
      <c r="B18" s="8" t="s">
        <v>215</v>
      </c>
      <c r="C18" s="8">
        <v>2.1861233137860901E-2</v>
      </c>
      <c r="D18" s="8">
        <v>2.95871614541811E-2</v>
      </c>
      <c r="E18" s="8">
        <v>2.64296330017126E-2</v>
      </c>
      <c r="F18" s="8">
        <v>2.60706506371759E-2</v>
      </c>
      <c r="I18" s="8" t="s">
        <v>216</v>
      </c>
      <c r="J18" s="8" t="s">
        <v>211</v>
      </c>
      <c r="K18" s="8">
        <v>5.7529583900931902E-3</v>
      </c>
      <c r="L18" s="8">
        <v>7.78609823395941E-3</v>
      </c>
      <c r="M18" s="8">
        <v>6.9551693614646696E-3</v>
      </c>
      <c r="N18" s="8">
        <v>6.8607002803779604E-3</v>
      </c>
      <c r="Q18" s="8" t="s">
        <v>216</v>
      </c>
      <c r="R18" s="8" t="s">
        <v>232</v>
      </c>
      <c r="S18" s="8">
        <v>0.38354973586751401</v>
      </c>
      <c r="T18" s="8">
        <v>0.51909916925807498</v>
      </c>
      <c r="U18" s="8">
        <v>0.46370114132885099</v>
      </c>
      <c r="V18" s="8">
        <v>0.45740288769279902</v>
      </c>
    </row>
    <row r="19" spans="1:22" x14ac:dyDescent="0.25">
      <c r="A19" s="8" t="s">
        <v>217</v>
      </c>
      <c r="B19" s="8" t="s">
        <v>68</v>
      </c>
      <c r="C19" s="8">
        <v>5.1415885722249302</v>
      </c>
      <c r="D19" s="8">
        <v>4.7219125657000598</v>
      </c>
      <c r="E19" s="8">
        <v>4.7774931683027697</v>
      </c>
      <c r="F19" s="8">
        <v>5.0929434414524399</v>
      </c>
      <c r="I19" s="8" t="s">
        <v>217</v>
      </c>
      <c r="J19" s="8" t="s">
        <v>211</v>
      </c>
      <c r="K19" s="8">
        <v>4.5500796565218797E-3</v>
      </c>
      <c r="L19" s="8">
        <v>4.1786848564916599E-3</v>
      </c>
      <c r="M19" s="8">
        <v>4.2278712442485496E-3</v>
      </c>
      <c r="N19" s="8">
        <v>4.5070308561739898E-3</v>
      </c>
      <c r="Q19" s="8" t="s">
        <v>217</v>
      </c>
      <c r="R19" s="8" t="s">
        <v>232</v>
      </c>
      <c r="S19" s="8">
        <v>0.30335381070031397</v>
      </c>
      <c r="T19" s="8">
        <v>0.27859291938229902</v>
      </c>
      <c r="U19" s="8">
        <v>0.281872175854051</v>
      </c>
      <c r="V19" s="8">
        <v>0.30048374718111998</v>
      </c>
    </row>
    <row r="20" spans="1:22" x14ac:dyDescent="0.25">
      <c r="A20" s="8" t="s">
        <v>219</v>
      </c>
      <c r="B20" s="8" t="s">
        <v>218</v>
      </c>
      <c r="C20" s="8">
        <v>1.70851917022483E-5</v>
      </c>
      <c r="D20" s="8">
        <v>1.5694110831451299E-5</v>
      </c>
      <c r="E20" s="8">
        <v>1.58581608308314E-5</v>
      </c>
      <c r="F20" s="8">
        <v>1.6966918364270701E-5</v>
      </c>
      <c r="I20" s="8" t="s">
        <v>219</v>
      </c>
      <c r="J20" s="8" t="s">
        <v>211</v>
      </c>
      <c r="K20" s="8">
        <v>0</v>
      </c>
      <c r="L20" s="8">
        <v>0</v>
      </c>
      <c r="M20" s="8">
        <v>0</v>
      </c>
      <c r="N20" s="8">
        <v>0</v>
      </c>
      <c r="Q20" s="8" t="s">
        <v>219</v>
      </c>
      <c r="R20" s="8" t="s">
        <v>232</v>
      </c>
      <c r="S20" s="8">
        <v>0</v>
      </c>
      <c r="T20" s="8">
        <v>0</v>
      </c>
      <c r="U20" s="8">
        <v>0</v>
      </c>
      <c r="V20" s="8">
        <v>0</v>
      </c>
    </row>
    <row r="21" spans="1:22" x14ac:dyDescent="0.25">
      <c r="A21" s="8" t="s">
        <v>221</v>
      </c>
      <c r="B21" s="8" t="s">
        <v>220</v>
      </c>
      <c r="C21" s="8">
        <v>8.0443145936944793E-2</v>
      </c>
      <c r="D21" s="8">
        <v>0.10517996230099699</v>
      </c>
      <c r="E21" s="8">
        <v>9.5968230426493106E-2</v>
      </c>
      <c r="F21" s="8">
        <v>9.52549639663864E-2</v>
      </c>
      <c r="I21" s="8" t="s">
        <v>221</v>
      </c>
      <c r="J21" s="8" t="s">
        <v>211</v>
      </c>
      <c r="K21" s="8">
        <v>2.53763534878308E-3</v>
      </c>
      <c r="L21" s="8">
        <v>3.3179755367585399E-3</v>
      </c>
      <c r="M21" s="8">
        <v>3.0273850065650199E-3</v>
      </c>
      <c r="N21" s="8">
        <v>3.0048845167944299E-3</v>
      </c>
      <c r="Q21" s="8" t="s">
        <v>221</v>
      </c>
      <c r="R21" s="8" t="s">
        <v>232</v>
      </c>
      <c r="S21" s="8">
        <v>0.16918414870336801</v>
      </c>
      <c r="T21" s="8">
        <v>0.22120942903569199</v>
      </c>
      <c r="U21" s="8">
        <v>0.20183575838769</v>
      </c>
      <c r="V21" s="8">
        <v>0.20033565073468601</v>
      </c>
    </row>
    <row r="22" spans="1:22" x14ac:dyDescent="0.25">
      <c r="A22" s="8" t="s">
        <v>223</v>
      </c>
      <c r="B22" s="8" t="s">
        <v>222</v>
      </c>
      <c r="C22" s="8">
        <v>0.180168949373189</v>
      </c>
      <c r="D22" s="8">
        <v>0.230101045304624</v>
      </c>
      <c r="E22" s="8">
        <v>0.210085558067796</v>
      </c>
      <c r="F22" s="8">
        <v>0.209491685799123</v>
      </c>
      <c r="I22" s="8" t="s">
        <v>223</v>
      </c>
      <c r="J22" s="8" t="s">
        <v>211</v>
      </c>
      <c r="K22" s="8">
        <v>3.8090598600682298E-3</v>
      </c>
      <c r="L22" s="8">
        <v>4.86470425941226E-3</v>
      </c>
      <c r="M22" s="8">
        <v>4.4415448344461497E-3</v>
      </c>
      <c r="N22" s="8">
        <v>4.4289894244907502E-3</v>
      </c>
      <c r="Q22" s="8" t="s">
        <v>223</v>
      </c>
      <c r="R22" s="8" t="s">
        <v>232</v>
      </c>
      <c r="S22" s="8">
        <v>0.25395002087074797</v>
      </c>
      <c r="T22" s="8">
        <v>0.324329832975014</v>
      </c>
      <c r="U22" s="8">
        <v>0.29611779411252598</v>
      </c>
      <c r="V22" s="8">
        <v>0.29528072493079799</v>
      </c>
    </row>
    <row r="23" spans="1:22" x14ac:dyDescent="0.25">
      <c r="A23" s="8" t="s">
        <v>225</v>
      </c>
      <c r="B23" s="8" t="s">
        <v>224</v>
      </c>
      <c r="C23" s="8">
        <v>0.28612729829133199</v>
      </c>
      <c r="D23" s="8">
        <v>0.37966793437345803</v>
      </c>
      <c r="E23" s="8">
        <v>0.34250844614506998</v>
      </c>
      <c r="F23" s="8">
        <v>0.33978332298341402</v>
      </c>
      <c r="I23" s="8" t="s">
        <v>225</v>
      </c>
      <c r="J23" s="8" t="s">
        <v>211</v>
      </c>
      <c r="K23" s="8">
        <v>1.6257180834316899E-3</v>
      </c>
      <c r="L23" s="8">
        <v>2.15719726952311E-3</v>
      </c>
      <c r="M23" s="8">
        <v>1.9460644893070601E-3</v>
      </c>
      <c r="N23" s="8">
        <v>1.9305808845271699E-3</v>
      </c>
      <c r="Q23" s="8" t="s">
        <v>225</v>
      </c>
      <c r="R23" s="8" t="s">
        <v>232</v>
      </c>
      <c r="S23" s="8">
        <v>0.108386624622391</v>
      </c>
      <c r="T23" s="8">
        <v>0.14382034195910601</v>
      </c>
      <c r="U23" s="8">
        <v>0.12974411950210199</v>
      </c>
      <c r="V23" s="8">
        <v>0.12871182757142599</v>
      </c>
    </row>
    <row r="24" spans="1:22" x14ac:dyDescent="0.25">
      <c r="A24" s="8" t="s">
        <v>45</v>
      </c>
      <c r="B24" s="8" t="s">
        <v>34</v>
      </c>
      <c r="C24" s="8">
        <v>3.8278093077670799E-2</v>
      </c>
      <c r="D24" s="8">
        <v>5.1807662313797603E-2</v>
      </c>
      <c r="E24" s="8">
        <v>4.6064440729329803E-2</v>
      </c>
      <c r="F24" s="8">
        <v>4.7705898375254498E-2</v>
      </c>
      <c r="I24" s="8" t="s">
        <v>45</v>
      </c>
      <c r="J24" s="8" t="s">
        <v>211</v>
      </c>
      <c r="K24" s="8">
        <v>2.5863588818348299E-2</v>
      </c>
      <c r="L24" s="8">
        <v>3.5005194041537499E-2</v>
      </c>
      <c r="M24" s="8">
        <v>3.11246370542307E-2</v>
      </c>
      <c r="N24" s="8">
        <v>3.2233730590598399E-2</v>
      </c>
      <c r="Q24" s="8" t="s">
        <v>45</v>
      </c>
      <c r="R24" s="8" t="s">
        <v>232</v>
      </c>
      <c r="S24" s="8">
        <v>1.72432546651928</v>
      </c>
      <c r="T24" s="8">
        <v>2.3337962867492998</v>
      </c>
      <c r="U24" s="8">
        <v>2.0750795524055601</v>
      </c>
      <c r="V24" s="8">
        <v>2.1490228184752</v>
      </c>
    </row>
    <row r="25" spans="1:22" x14ac:dyDescent="0.25">
      <c r="A25" s="8" t="s">
        <v>15</v>
      </c>
      <c r="B25" s="8" t="s">
        <v>65</v>
      </c>
      <c r="C25" s="8">
        <v>3.7378406011445701E-2</v>
      </c>
      <c r="D25" s="8">
        <v>5.0960092933771697E-2</v>
      </c>
      <c r="E25" s="8">
        <v>4.6372937380226999E-2</v>
      </c>
      <c r="F25" s="8">
        <v>4.4692998469194202E-2</v>
      </c>
      <c r="I25" s="8" t="s">
        <v>15</v>
      </c>
      <c r="J25" s="8" t="s">
        <v>211</v>
      </c>
      <c r="K25" s="8">
        <v>2.2117400891468598E-3</v>
      </c>
      <c r="L25" s="8">
        <v>3.0153902350399599E-3</v>
      </c>
      <c r="M25" s="8">
        <v>2.7439609014878398E-3</v>
      </c>
      <c r="N25" s="8">
        <v>2.64455622821978E-3</v>
      </c>
      <c r="Q25" s="8" t="s">
        <v>15</v>
      </c>
      <c r="R25" s="8" t="s">
        <v>232</v>
      </c>
      <c r="S25" s="8">
        <v>0.14745671174342101</v>
      </c>
      <c r="T25" s="8">
        <v>0.201036066970116</v>
      </c>
      <c r="U25" s="8">
        <v>0.18293987330219399</v>
      </c>
      <c r="V25" s="8">
        <v>0.17631256373541301</v>
      </c>
    </row>
    <row r="26" spans="1:22" x14ac:dyDescent="0.25">
      <c r="A26" s="8" t="s">
        <v>6</v>
      </c>
      <c r="B26" s="8" t="s">
        <v>218</v>
      </c>
      <c r="C26" s="8">
        <v>1916.77607562301</v>
      </c>
      <c r="D26" s="8">
        <v>2398.4099413550198</v>
      </c>
      <c r="E26" s="8">
        <v>2191.00588989991</v>
      </c>
      <c r="F26" s="8">
        <v>2270.4034812434702</v>
      </c>
      <c r="I26" s="8" t="s">
        <v>6</v>
      </c>
      <c r="J26" s="8" t="s">
        <v>211</v>
      </c>
      <c r="K26" s="8">
        <v>0.219309851468482</v>
      </c>
      <c r="L26" s="8">
        <v>0.274416471850076</v>
      </c>
      <c r="M26" s="8">
        <v>0.25068612989878802</v>
      </c>
      <c r="N26" s="8">
        <v>0.25977048470995401</v>
      </c>
      <c r="Q26" s="8" t="s">
        <v>6</v>
      </c>
      <c r="R26" s="8" t="s">
        <v>232</v>
      </c>
      <c r="S26" s="8">
        <v>14.621387797403701</v>
      </c>
      <c r="T26" s="8">
        <v>18.2953461782446</v>
      </c>
      <c r="U26" s="8">
        <v>16.7132442803522</v>
      </c>
      <c r="V26" s="8">
        <v>17.318898215612599</v>
      </c>
    </row>
    <row r="27" spans="1:22" x14ac:dyDescent="0.25">
      <c r="A27" s="8" t="s">
        <v>227</v>
      </c>
      <c r="B27" s="8" t="s">
        <v>226</v>
      </c>
      <c r="C27" s="8">
        <v>28.7382297371669</v>
      </c>
      <c r="D27" s="8">
        <v>36.8592788912514</v>
      </c>
      <c r="E27" s="8">
        <v>33.907505552406299</v>
      </c>
      <c r="F27" s="8">
        <v>33.564852856886297</v>
      </c>
      <c r="I27" s="8" t="s">
        <v>227</v>
      </c>
      <c r="J27" s="8" t="s">
        <v>211</v>
      </c>
      <c r="K27" s="8">
        <v>3.8420139335618397E-4</v>
      </c>
      <c r="L27" s="8">
        <v>4.9277169949714199E-4</v>
      </c>
      <c r="M27" s="8">
        <v>4.5330944173011998E-4</v>
      </c>
      <c r="N27" s="8">
        <v>4.48728517843714E-4</v>
      </c>
      <c r="Q27" s="8" t="s">
        <v>227</v>
      </c>
      <c r="R27" s="8" t="s">
        <v>232</v>
      </c>
      <c r="S27" s="8">
        <v>2.56147068950568E-2</v>
      </c>
      <c r="T27" s="8">
        <v>3.2853089205474403E-2</v>
      </c>
      <c r="U27" s="8">
        <v>3.0222140480147E-2</v>
      </c>
      <c r="V27" s="8">
        <v>2.99167302846403E-2</v>
      </c>
    </row>
    <row r="28" spans="1:22" x14ac:dyDescent="0.25">
      <c r="A28" s="8" t="s">
        <v>229</v>
      </c>
      <c r="B28" s="8" t="s">
        <v>228</v>
      </c>
      <c r="C28" s="8">
        <v>4.0797730951281598E-3</v>
      </c>
      <c r="D28" s="8">
        <v>-9.9211899245199107E-3</v>
      </c>
      <c r="E28" s="8">
        <v>-5.9351210251132602E-3</v>
      </c>
      <c r="F28" s="8">
        <v>-3.2885442136670298E-3</v>
      </c>
      <c r="I28" s="8" t="s">
        <v>229</v>
      </c>
      <c r="J28" s="8" t="s">
        <v>211</v>
      </c>
      <c r="K28" s="8">
        <v>5.0120012473667201E-5</v>
      </c>
      <c r="L28" s="8">
        <v>-1.21881818222684E-4</v>
      </c>
      <c r="M28" s="8">
        <v>-7.2912961793490604E-5</v>
      </c>
      <c r="N28" s="8">
        <v>-4.0399765664874002E-5</v>
      </c>
      <c r="Q28" s="8" t="s">
        <v>229</v>
      </c>
      <c r="R28" s="8" t="s">
        <v>232</v>
      </c>
      <c r="S28" s="8">
        <v>3.3415012316207401E-3</v>
      </c>
      <c r="T28" s="8">
        <v>-8.1258608209037898E-3</v>
      </c>
      <c r="U28" s="8">
        <v>-4.8611071627697299E-3</v>
      </c>
      <c r="V28" s="8">
        <v>-2.6934523768751598E-3</v>
      </c>
    </row>
    <row r="29" spans="1:22" x14ac:dyDescent="0.25">
      <c r="A29" s="8" t="s">
        <v>231</v>
      </c>
      <c r="B29" s="8" t="s">
        <v>230</v>
      </c>
      <c r="C29" s="8">
        <v>8.8586974200671395E-3</v>
      </c>
      <c r="D29" s="8">
        <v>1.0972608834039801E-2</v>
      </c>
      <c r="E29" s="8">
        <v>1.04514225434966E-2</v>
      </c>
      <c r="F29" s="8">
        <v>1.02750605043567E-2</v>
      </c>
      <c r="I29" s="8" t="s">
        <v>231</v>
      </c>
      <c r="J29" s="8" t="s">
        <v>211</v>
      </c>
      <c r="K29" s="8">
        <v>8.77099631560848E-2</v>
      </c>
      <c r="L29" s="8">
        <v>0.108639800065828</v>
      </c>
      <c r="M29" s="8">
        <v>0.10347953460316001</v>
      </c>
      <c r="N29" s="8">
        <v>0.101733374053636</v>
      </c>
      <c r="Q29" s="8" t="s">
        <v>231</v>
      </c>
      <c r="R29" s="8" t="s">
        <v>232</v>
      </c>
      <c r="S29" s="8">
        <v>5.8476232436161801</v>
      </c>
      <c r="T29" s="8">
        <v>7.2430154703887801</v>
      </c>
      <c r="U29" s="8">
        <v>6.8989805719926398</v>
      </c>
      <c r="V29" s="8">
        <v>6.7825640481559297</v>
      </c>
    </row>
    <row r="30" spans="1:22" x14ac:dyDescent="0.25">
      <c r="Q30" s="9" t="s">
        <v>48</v>
      </c>
      <c r="R30" s="9" t="s">
        <v>232</v>
      </c>
      <c r="S30" s="9">
        <v>39.6266782449581</v>
      </c>
      <c r="T30" s="9">
        <v>49.388415827911302</v>
      </c>
      <c r="U30" s="9">
        <v>45.394109069475498</v>
      </c>
      <c r="V30" s="9">
        <v>46.6280269216373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Y37" sqref="Y37"/>
    </sheetView>
  </sheetViews>
  <sheetFormatPr defaultColWidth="20.77734375" defaultRowHeight="14.4" x14ac:dyDescent="0.3"/>
  <cols>
    <col min="1" max="1" width="40.77734375" style="10" customWidth="1"/>
    <col min="2" max="16384" width="20.77734375" style="10"/>
  </cols>
  <sheetData>
    <row r="1" spans="1:5" x14ac:dyDescent="0.3">
      <c r="A1" s="10" t="s">
        <v>135</v>
      </c>
    </row>
    <row r="2" spans="1:5" x14ac:dyDescent="0.3">
      <c r="A2" s="10" t="s">
        <v>236</v>
      </c>
    </row>
    <row r="3" spans="1:5" x14ac:dyDescent="0.3">
      <c r="A3" s="10" t="s">
        <v>189</v>
      </c>
    </row>
    <row r="4" spans="1:5" x14ac:dyDescent="0.3">
      <c r="A4" s="10" t="s">
        <v>237</v>
      </c>
    </row>
    <row r="5" spans="1:5" x14ac:dyDescent="0.3">
      <c r="A5" s="10" t="s">
        <v>171</v>
      </c>
    </row>
    <row r="7" spans="1:5" s="11" customFormat="1" x14ac:dyDescent="0.3"/>
    <row r="8" spans="1:5" s="11" customFormat="1" x14ac:dyDescent="0.3">
      <c r="A8" s="11" t="s">
        <v>148</v>
      </c>
      <c r="B8" s="11" t="s">
        <v>194</v>
      </c>
      <c r="C8" s="11" t="s">
        <v>195</v>
      </c>
      <c r="D8" s="11" t="s">
        <v>196</v>
      </c>
      <c r="E8" s="11" t="s">
        <v>197</v>
      </c>
    </row>
    <row r="9" spans="1:5" x14ac:dyDescent="0.3">
      <c r="A9" s="10" t="s">
        <v>18</v>
      </c>
      <c r="B9" s="12">
        <v>4.2892509511442706E-3</v>
      </c>
      <c r="C9" s="12">
        <v>4.8793149795038262E-3</v>
      </c>
      <c r="D9" s="12">
        <v>4.5878135704833529E-3</v>
      </c>
      <c r="E9" s="12">
        <v>4.6838239786968295E-3</v>
      </c>
    </row>
    <row r="10" spans="1:5" x14ac:dyDescent="0.3">
      <c r="A10" s="10" t="s">
        <v>66</v>
      </c>
      <c r="B10" s="12">
        <v>1.6095264995157161E-3</v>
      </c>
      <c r="C10" s="12">
        <v>1.2605178962158837E-3</v>
      </c>
      <c r="D10" s="12">
        <v>1.343436291868487E-3</v>
      </c>
      <c r="E10" s="12">
        <v>1.4851169108121281E-3</v>
      </c>
    </row>
    <row r="11" spans="1:5" x14ac:dyDescent="0.3">
      <c r="A11" s="10" t="s">
        <v>213</v>
      </c>
      <c r="B11" s="12">
        <v>0.45232963471527515</v>
      </c>
      <c r="C11" s="12">
        <v>0.5645781719571118</v>
      </c>
      <c r="D11" s="12">
        <v>0.51282064806761041</v>
      </c>
      <c r="E11" s="12">
        <v>0.53787663395750507</v>
      </c>
    </row>
    <row r="12" spans="1:5" x14ac:dyDescent="0.3">
      <c r="A12" s="10" t="s">
        <v>214</v>
      </c>
      <c r="B12" s="12">
        <v>0.43454786066664397</v>
      </c>
      <c r="C12" s="12">
        <v>0.47343873702043171</v>
      </c>
      <c r="D12" s="12">
        <v>0.45156643398078772</v>
      </c>
      <c r="E12" s="12">
        <v>0.47094789111095475</v>
      </c>
    </row>
    <row r="13" spans="1:5" x14ac:dyDescent="0.3">
      <c r="A13" s="10" t="s">
        <v>216</v>
      </c>
      <c r="B13" s="12">
        <v>6.5688789737017887E-3</v>
      </c>
      <c r="C13" s="12">
        <v>7.5173071059381792E-3</v>
      </c>
      <c r="D13" s="14">
        <v>7.0366032659799497E-3</v>
      </c>
      <c r="E13" s="12">
        <v>7.1824691013062138E-3</v>
      </c>
    </row>
    <row r="14" spans="1:5" x14ac:dyDescent="0.3">
      <c r="A14" s="10" t="s">
        <v>217</v>
      </c>
      <c r="B14" s="12">
        <v>0.54433471350689311</v>
      </c>
      <c r="C14" s="12">
        <v>0.4092529260912478</v>
      </c>
      <c r="D14" s="12">
        <v>0.44240788419429594</v>
      </c>
      <c r="E14" s="12">
        <v>0.49392483748000726</v>
      </c>
    </row>
    <row r="15" spans="1:5" x14ac:dyDescent="0.3">
      <c r="A15" s="10" t="s">
        <v>219</v>
      </c>
      <c r="B15" s="15">
        <v>0</v>
      </c>
      <c r="C15" s="15">
        <v>0</v>
      </c>
      <c r="D15" s="15">
        <v>0</v>
      </c>
      <c r="E15" s="15">
        <v>0</v>
      </c>
    </row>
    <row r="16" spans="1:5" x14ac:dyDescent="0.3">
      <c r="A16" s="10" t="s">
        <v>221</v>
      </c>
      <c r="B16" s="12">
        <v>2.928702113111077E-3</v>
      </c>
      <c r="C16" s="12">
        <v>3.1808272349669623E-3</v>
      </c>
      <c r="D16" s="14">
        <v>3.0500577722332354E-3</v>
      </c>
      <c r="E16" s="12">
        <v>3.1449927050085976E-3</v>
      </c>
    </row>
    <row r="17" spans="1:5" x14ac:dyDescent="0.3">
      <c r="A17" s="10" t="s">
        <v>223</v>
      </c>
      <c r="B17" s="12">
        <v>4.6537921745442431E-3</v>
      </c>
      <c r="C17" s="12">
        <v>5.1761470479750075E-3</v>
      </c>
      <c r="D17" s="12">
        <v>4.9101571813807993E-3</v>
      </c>
      <c r="E17" s="14">
        <v>5.038024989167101E-3</v>
      </c>
    </row>
    <row r="18" spans="1:5" x14ac:dyDescent="0.3">
      <c r="A18" s="10" t="s">
        <v>225</v>
      </c>
      <c r="B18" s="12">
        <v>3.364077826762759E-3</v>
      </c>
      <c r="C18" s="12">
        <v>3.5215770404430696E-3</v>
      </c>
      <c r="D18" s="12">
        <v>3.3969405570601218E-3</v>
      </c>
      <c r="E18" s="12">
        <v>3.5357863058043141E-3</v>
      </c>
    </row>
    <row r="19" spans="1:5" x14ac:dyDescent="0.3">
      <c r="A19" s="10" t="s">
        <v>45</v>
      </c>
      <c r="B19" s="12">
        <v>6.2181839840734056E-3</v>
      </c>
      <c r="C19" s="12">
        <v>8.1937955841688611E-3</v>
      </c>
      <c r="D19" s="12">
        <v>7.3386231812608439E-3</v>
      </c>
      <c r="E19" s="12">
        <v>7.6246763895521062E-3</v>
      </c>
    </row>
    <row r="20" spans="1:5" x14ac:dyDescent="0.3">
      <c r="A20" s="10" t="s">
        <v>15</v>
      </c>
      <c r="B20" s="14">
        <v>2.00384009787071E-3</v>
      </c>
      <c r="C20" s="12">
        <v>2.2531985544400001E-3</v>
      </c>
      <c r="D20" s="12">
        <v>2.1510490863700547E-3</v>
      </c>
      <c r="E20" s="12">
        <v>2.170119709340175E-3</v>
      </c>
    </row>
    <row r="21" spans="1:5" x14ac:dyDescent="0.3">
      <c r="A21" s="10" t="s">
        <v>6</v>
      </c>
      <c r="B21" s="12">
        <v>0.53117359176849333</v>
      </c>
      <c r="C21" s="12">
        <v>0.65519390334393357</v>
      </c>
      <c r="D21" s="12">
        <v>0.60091328364922414</v>
      </c>
      <c r="E21" s="12">
        <v>0.62393454867977849</v>
      </c>
    </row>
    <row r="22" spans="1:5" x14ac:dyDescent="0.3">
      <c r="A22" s="10" t="s">
        <v>227</v>
      </c>
      <c r="B22" s="21">
        <v>3.1319036580939446E-5</v>
      </c>
      <c r="C22" s="21">
        <v>2.6304923171713662E-5</v>
      </c>
      <c r="D22" s="21">
        <v>2.7360980114104919E-5</v>
      </c>
      <c r="E22" s="21">
        <v>2.9771160141301329E-5</v>
      </c>
    </row>
    <row r="23" spans="1:5" x14ac:dyDescent="0.3">
      <c r="A23" s="10" t="s">
        <v>229</v>
      </c>
      <c r="B23" s="12">
        <v>1.2420034297601764E-3</v>
      </c>
      <c r="C23" s="12">
        <v>7.3724052455866691E-4</v>
      </c>
      <c r="D23" s="12">
        <v>8.6955349637543805E-4</v>
      </c>
      <c r="E23" s="14">
        <v>1.0215132685315854E-3</v>
      </c>
    </row>
    <row r="24" spans="1:5" x14ac:dyDescent="0.3">
      <c r="A24" s="10" t="s">
        <v>231</v>
      </c>
      <c r="B24" s="12">
        <v>5.1291664675873712E-2</v>
      </c>
      <c r="C24" s="12">
        <v>6.0869962466244112E-2</v>
      </c>
      <c r="D24" s="12">
        <v>5.8508933544930648E-2</v>
      </c>
      <c r="E24" s="12">
        <v>5.8112738983403384E-2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A30" sqref="A30:C31"/>
    </sheetView>
  </sheetViews>
  <sheetFormatPr defaultRowHeight="13.2" x14ac:dyDescent="0.25"/>
  <cols>
    <col min="1" max="1" width="26" style="7" customWidth="1"/>
    <col min="2" max="16384" width="8.88671875" style="7"/>
  </cols>
  <sheetData>
    <row r="1" spans="1:6" x14ac:dyDescent="0.25">
      <c r="A1" s="7" t="s">
        <v>211</v>
      </c>
      <c r="B1" s="7" t="s">
        <v>307</v>
      </c>
    </row>
    <row r="4" spans="1:6" x14ac:dyDescent="0.25">
      <c r="A4" s="7" t="s">
        <v>270</v>
      </c>
    </row>
    <row r="5" spans="1:6" x14ac:dyDescent="0.25">
      <c r="A5" s="7" t="s">
        <v>30</v>
      </c>
      <c r="B5" s="7">
        <v>11</v>
      </c>
      <c r="C5" s="7" t="s">
        <v>269</v>
      </c>
      <c r="D5" s="7" t="s">
        <v>211</v>
      </c>
      <c r="E5" s="7" t="s">
        <v>211</v>
      </c>
      <c r="F5" s="7" t="s">
        <v>211</v>
      </c>
    </row>
    <row r="6" spans="1:6" x14ac:dyDescent="0.25">
      <c r="A6" s="7" t="s">
        <v>77</v>
      </c>
      <c r="B6" s="7">
        <v>11.03</v>
      </c>
      <c r="C6" s="7" t="s">
        <v>266</v>
      </c>
      <c r="D6" s="7" t="s">
        <v>211</v>
      </c>
      <c r="E6" s="7" t="s">
        <v>211</v>
      </c>
      <c r="F6" s="7" t="s">
        <v>211</v>
      </c>
    </row>
    <row r="7" spans="1:6" x14ac:dyDescent="0.25">
      <c r="A7" s="7" t="s">
        <v>4</v>
      </c>
      <c r="B7" s="7">
        <v>0.04</v>
      </c>
      <c r="C7" s="7" t="s">
        <v>266</v>
      </c>
      <c r="D7" s="7" t="s">
        <v>211</v>
      </c>
      <c r="E7" s="7" t="s">
        <v>211</v>
      </c>
      <c r="F7" s="7" t="s">
        <v>211</v>
      </c>
    </row>
    <row r="8" spans="1:6" x14ac:dyDescent="0.25">
      <c r="A8" s="7" t="s">
        <v>11</v>
      </c>
      <c r="B8" s="7">
        <v>1.909</v>
      </c>
      <c r="C8" s="7" t="s">
        <v>266</v>
      </c>
      <c r="D8" s="7" t="s">
        <v>211</v>
      </c>
      <c r="E8" s="7" t="s">
        <v>211</v>
      </c>
      <c r="F8" s="7" t="s">
        <v>211</v>
      </c>
    </row>
    <row r="9" spans="1:6" x14ac:dyDescent="0.25">
      <c r="A9" s="7" t="s">
        <v>51</v>
      </c>
      <c r="B9" s="7">
        <v>12.49</v>
      </c>
      <c r="C9" s="7" t="s">
        <v>266</v>
      </c>
      <c r="D9" s="7" t="s">
        <v>211</v>
      </c>
      <c r="E9" s="7" t="s">
        <v>211</v>
      </c>
      <c r="F9" s="7" t="s">
        <v>211</v>
      </c>
    </row>
    <row r="10" spans="1:6" x14ac:dyDescent="0.25">
      <c r="A10" s="7" t="s">
        <v>9</v>
      </c>
      <c r="B10" s="7">
        <v>6.7720000000000002</v>
      </c>
      <c r="C10" s="7" t="s">
        <v>266</v>
      </c>
      <c r="D10" s="7" t="s">
        <v>211</v>
      </c>
      <c r="E10" s="7" t="s">
        <v>211</v>
      </c>
      <c r="F10" s="7" t="s">
        <v>211</v>
      </c>
    </row>
    <row r="11" spans="1:6" x14ac:dyDescent="0.25">
      <c r="A11" s="7" t="s">
        <v>12</v>
      </c>
      <c r="B11" s="7">
        <v>1.734</v>
      </c>
      <c r="C11" s="7" t="s">
        <v>266</v>
      </c>
      <c r="D11" s="7" t="s">
        <v>211</v>
      </c>
      <c r="E11" s="7" t="s">
        <v>211</v>
      </c>
      <c r="F11" s="7" t="s">
        <v>211</v>
      </c>
    </row>
    <row r="12" spans="1:6" x14ac:dyDescent="0.25">
      <c r="A12" s="7" t="s">
        <v>12</v>
      </c>
      <c r="B12" s="7">
        <v>3.4660000000000002</v>
      </c>
      <c r="C12" s="7" t="s">
        <v>266</v>
      </c>
      <c r="D12" s="7" t="s">
        <v>211</v>
      </c>
      <c r="E12" s="7" t="s">
        <v>211</v>
      </c>
      <c r="F12" s="7" t="s">
        <v>211</v>
      </c>
    </row>
    <row r="13" spans="1:6" x14ac:dyDescent="0.25">
      <c r="A13" s="7" t="s">
        <v>25</v>
      </c>
      <c r="B13" s="7">
        <v>0.66800000000000004</v>
      </c>
      <c r="C13" s="7" t="s">
        <v>266</v>
      </c>
      <c r="D13" s="7" t="s">
        <v>211</v>
      </c>
      <c r="E13" s="7" t="s">
        <v>211</v>
      </c>
      <c r="F13" s="7" t="s">
        <v>211</v>
      </c>
    </row>
    <row r="14" spans="1:6" x14ac:dyDescent="0.25">
      <c r="A14" s="7" t="s">
        <v>308</v>
      </c>
      <c r="B14" s="7">
        <v>1.3220000000000001</v>
      </c>
      <c r="C14" s="7" t="s">
        <v>266</v>
      </c>
      <c r="D14" s="7" t="s">
        <v>211</v>
      </c>
      <c r="E14" s="7" t="s">
        <v>211</v>
      </c>
      <c r="F14" s="7" t="s">
        <v>211</v>
      </c>
    </row>
    <row r="15" spans="1:6" x14ac:dyDescent="0.25">
      <c r="A15" s="7" t="s">
        <v>57</v>
      </c>
      <c r="B15" s="7">
        <v>2.3E-2</v>
      </c>
      <c r="C15" s="7" t="s">
        <v>266</v>
      </c>
      <c r="D15" s="7" t="s">
        <v>211</v>
      </c>
      <c r="E15" s="7" t="s">
        <v>211</v>
      </c>
      <c r="F15" s="7" t="s">
        <v>211</v>
      </c>
    </row>
    <row r="16" spans="1:6" x14ac:dyDescent="0.25">
      <c r="A16" s="7" t="s">
        <v>36</v>
      </c>
      <c r="B16" s="7">
        <v>1.7470000000000001</v>
      </c>
      <c r="C16" s="7" t="s">
        <v>266</v>
      </c>
      <c r="D16" s="7" t="s">
        <v>211</v>
      </c>
      <c r="E16" s="7" t="s">
        <v>211</v>
      </c>
      <c r="F16" s="7" t="s">
        <v>211</v>
      </c>
    </row>
    <row r="17" spans="1:6" x14ac:dyDescent="0.25">
      <c r="A17" s="7" t="s">
        <v>37</v>
      </c>
      <c r="B17" s="7">
        <v>0.13900000000000001</v>
      </c>
      <c r="C17" s="7" t="s">
        <v>266</v>
      </c>
      <c r="D17" s="7" t="s">
        <v>211</v>
      </c>
      <c r="E17" s="7" t="s">
        <v>211</v>
      </c>
      <c r="F17" s="7" t="s">
        <v>211</v>
      </c>
    </row>
    <row r="18" spans="1:6" x14ac:dyDescent="0.25">
      <c r="A18" s="7" t="s">
        <v>71</v>
      </c>
      <c r="B18" s="7">
        <v>0.13600000000000001</v>
      </c>
      <c r="C18" s="7" t="s">
        <v>266</v>
      </c>
      <c r="D18" s="7" t="s">
        <v>211</v>
      </c>
      <c r="E18" s="7" t="s">
        <v>211</v>
      </c>
      <c r="F18" s="7" t="s">
        <v>211</v>
      </c>
    </row>
    <row r="19" spans="1:6" x14ac:dyDescent="0.25">
      <c r="A19" s="7" t="s">
        <v>75</v>
      </c>
      <c r="B19" s="7">
        <v>0.221</v>
      </c>
      <c r="C19" s="7" t="s">
        <v>266</v>
      </c>
      <c r="D19" s="7" t="s">
        <v>211</v>
      </c>
      <c r="E19" s="7" t="s">
        <v>211</v>
      </c>
      <c r="F19" s="7" t="s">
        <v>211</v>
      </c>
    </row>
    <row r="20" spans="1:6" x14ac:dyDescent="0.25">
      <c r="A20" s="7" t="s">
        <v>74</v>
      </c>
      <c r="B20" s="7">
        <v>8.5000000000000006E-2</v>
      </c>
      <c r="C20" s="7" t="s">
        <v>266</v>
      </c>
      <c r="D20" s="7" t="s">
        <v>211</v>
      </c>
      <c r="E20" s="7" t="s">
        <v>211</v>
      </c>
      <c r="F20" s="7" t="s">
        <v>211</v>
      </c>
    </row>
    <row r="21" spans="1:6" x14ac:dyDescent="0.25">
      <c r="A21" s="7" t="s">
        <v>1</v>
      </c>
      <c r="B21" s="7">
        <v>4.9560000000000004</v>
      </c>
      <c r="C21" s="7" t="s">
        <v>266</v>
      </c>
      <c r="D21" s="7" t="s">
        <v>211</v>
      </c>
      <c r="E21" s="7" t="s">
        <v>211</v>
      </c>
      <c r="F21" s="7" t="s">
        <v>211</v>
      </c>
    </row>
    <row r="22" spans="1:6" x14ac:dyDescent="0.25">
      <c r="A22" s="7" t="s">
        <v>80</v>
      </c>
      <c r="B22" s="7">
        <v>0</v>
      </c>
      <c r="C22" s="7" t="s">
        <v>266</v>
      </c>
      <c r="D22" s="7" t="s">
        <v>211</v>
      </c>
      <c r="E22" s="7" t="s">
        <v>211</v>
      </c>
      <c r="F22" s="7" t="s">
        <v>211</v>
      </c>
    </row>
    <row r="23" spans="1:6" x14ac:dyDescent="0.25">
      <c r="A23" s="7" t="s">
        <v>35</v>
      </c>
      <c r="B23" s="7">
        <v>0.3</v>
      </c>
      <c r="C23" s="7" t="s">
        <v>266</v>
      </c>
      <c r="D23" s="7" t="s">
        <v>211</v>
      </c>
      <c r="E23" s="7" t="s">
        <v>211</v>
      </c>
      <c r="F23" s="7" t="s">
        <v>211</v>
      </c>
    </row>
    <row r="25" spans="1:6" x14ac:dyDescent="0.25">
      <c r="A25" s="7" t="s">
        <v>268</v>
      </c>
    </row>
    <row r="26" spans="1:6" x14ac:dyDescent="0.25">
      <c r="A26" s="7" t="s">
        <v>2</v>
      </c>
      <c r="B26" s="7">
        <v>5</v>
      </c>
      <c r="C26" s="7" t="s">
        <v>267</v>
      </c>
      <c r="D26" s="7" t="s">
        <v>211</v>
      </c>
      <c r="E26" s="7" t="s">
        <v>211</v>
      </c>
      <c r="F26" s="7" t="s">
        <v>211</v>
      </c>
    </row>
    <row r="27" spans="1:6" x14ac:dyDescent="0.25">
      <c r="A27" s="7" t="s">
        <v>63</v>
      </c>
      <c r="B27" s="7">
        <v>45.66</v>
      </c>
      <c r="C27" s="7" t="s">
        <v>266</v>
      </c>
      <c r="D27" s="7" t="s">
        <v>211</v>
      </c>
      <c r="E27" s="7" t="s">
        <v>211</v>
      </c>
      <c r="F27" s="7" t="s">
        <v>211</v>
      </c>
    </row>
    <row r="30" spans="1:6" x14ac:dyDescent="0.25">
      <c r="A30" s="7" t="s">
        <v>274</v>
      </c>
    </row>
    <row r="31" spans="1:6" x14ac:dyDescent="0.25">
      <c r="A31" s="7" t="s">
        <v>8</v>
      </c>
      <c r="B31" s="7">
        <v>17.989999999999998</v>
      </c>
      <c r="C31" s="7" t="s">
        <v>266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Y37" sqref="Y37"/>
    </sheetView>
  </sheetViews>
  <sheetFormatPr defaultRowHeight="13.2" x14ac:dyDescent="0.25"/>
  <cols>
    <col min="1" max="16384" width="8.88671875" style="8"/>
  </cols>
  <sheetData>
    <row r="1" spans="1:21" x14ac:dyDescent="0.25">
      <c r="A1" s="8" t="s">
        <v>20</v>
      </c>
      <c r="B1" s="8" t="s">
        <v>40</v>
      </c>
      <c r="C1" s="8" t="s">
        <v>61</v>
      </c>
      <c r="D1" s="19">
        <v>43198</v>
      </c>
      <c r="E1" s="8" t="s">
        <v>17</v>
      </c>
      <c r="F1" s="20">
        <v>0.65285363425925902</v>
      </c>
    </row>
    <row r="2" spans="1:21" x14ac:dyDescent="0.25">
      <c r="A2" s="8" t="s">
        <v>41</v>
      </c>
      <c r="B2" s="8" t="s">
        <v>13</v>
      </c>
    </row>
    <row r="5" spans="1:21" x14ac:dyDescent="0.25">
      <c r="A5" s="8" t="s">
        <v>69</v>
      </c>
      <c r="B5" s="8" t="s">
        <v>134</v>
      </c>
      <c r="I5" s="8" t="s">
        <v>69</v>
      </c>
      <c r="J5" s="8" t="s">
        <v>134</v>
      </c>
      <c r="P5" s="8" t="s">
        <v>69</v>
      </c>
      <c r="Q5" s="8" t="s">
        <v>134</v>
      </c>
    </row>
    <row r="6" spans="1:21" x14ac:dyDescent="0.25">
      <c r="A6" s="8" t="s">
        <v>39</v>
      </c>
      <c r="B6" s="8" t="s">
        <v>40</v>
      </c>
      <c r="I6" s="8" t="s">
        <v>39</v>
      </c>
      <c r="J6" s="8" t="s">
        <v>40</v>
      </c>
      <c r="P6" s="8" t="s">
        <v>39</v>
      </c>
      <c r="Q6" s="8" t="s">
        <v>40</v>
      </c>
    </row>
    <row r="7" spans="1:21" x14ac:dyDescent="0.25">
      <c r="A7" s="8" t="s">
        <v>137</v>
      </c>
      <c r="B7" s="8" t="s">
        <v>190</v>
      </c>
      <c r="I7" s="8" t="s">
        <v>137</v>
      </c>
      <c r="J7" s="8" t="s">
        <v>190</v>
      </c>
      <c r="P7" s="8" t="s">
        <v>137</v>
      </c>
      <c r="Q7" s="8" t="s">
        <v>190</v>
      </c>
    </row>
    <row r="8" spans="1:21" x14ac:dyDescent="0.25">
      <c r="A8" s="8" t="s">
        <v>140</v>
      </c>
      <c r="B8" s="8" t="s">
        <v>191</v>
      </c>
      <c r="I8" s="8" t="s">
        <v>140</v>
      </c>
      <c r="J8" s="8" t="s">
        <v>191</v>
      </c>
      <c r="P8" s="8" t="s">
        <v>140</v>
      </c>
      <c r="Q8" s="8" t="s">
        <v>191</v>
      </c>
    </row>
    <row r="9" spans="1:21" x14ac:dyDescent="0.25">
      <c r="A9" s="8" t="s">
        <v>142</v>
      </c>
      <c r="B9" s="8" t="s">
        <v>192</v>
      </c>
      <c r="I9" s="8" t="s">
        <v>142</v>
      </c>
      <c r="J9" s="8" t="s">
        <v>192</v>
      </c>
      <c r="P9" s="8" t="s">
        <v>142</v>
      </c>
      <c r="Q9" s="8" t="s">
        <v>192</v>
      </c>
    </row>
    <row r="10" spans="1:21" x14ac:dyDescent="0.25">
      <c r="A10" s="8" t="s">
        <v>160</v>
      </c>
      <c r="B10" s="8" t="s">
        <v>193</v>
      </c>
      <c r="I10" s="8" t="s">
        <v>160</v>
      </c>
      <c r="J10" s="8" t="s">
        <v>193</v>
      </c>
      <c r="P10" s="8" t="s">
        <v>160</v>
      </c>
      <c r="Q10" s="8" t="s">
        <v>193</v>
      </c>
    </row>
    <row r="11" spans="1:21" x14ac:dyDescent="0.25">
      <c r="A11" s="8" t="s">
        <v>49</v>
      </c>
      <c r="B11" s="8" t="s">
        <v>201</v>
      </c>
      <c r="I11" s="8" t="s">
        <v>49</v>
      </c>
      <c r="J11" s="8" t="s">
        <v>201</v>
      </c>
      <c r="P11" s="8" t="s">
        <v>49</v>
      </c>
      <c r="Q11" s="8" t="s">
        <v>201</v>
      </c>
    </row>
    <row r="12" spans="1:21" x14ac:dyDescent="0.25">
      <c r="A12" s="8" t="s">
        <v>60</v>
      </c>
      <c r="B12" s="8" t="s">
        <v>62</v>
      </c>
      <c r="I12" s="8" t="s">
        <v>60</v>
      </c>
      <c r="J12" s="8" t="s">
        <v>202</v>
      </c>
      <c r="P12" s="8" t="s">
        <v>60</v>
      </c>
      <c r="Q12" s="8" t="s">
        <v>203</v>
      </c>
    </row>
    <row r="14" spans="1:21" x14ac:dyDescent="0.25">
      <c r="A14" s="8" t="s">
        <v>22</v>
      </c>
      <c r="B14" s="8" t="s">
        <v>43</v>
      </c>
      <c r="C14" s="8" t="s">
        <v>194</v>
      </c>
      <c r="D14" s="8" t="s">
        <v>195</v>
      </c>
      <c r="E14" s="8" t="s">
        <v>196</v>
      </c>
      <c r="F14" s="8" t="s">
        <v>197</v>
      </c>
      <c r="I14" s="8" t="s">
        <v>22</v>
      </c>
      <c r="J14" s="8" t="s">
        <v>43</v>
      </c>
      <c r="K14" s="8" t="s">
        <v>194</v>
      </c>
      <c r="L14" s="8" t="s">
        <v>195</v>
      </c>
      <c r="M14" s="8" t="s">
        <v>196</v>
      </c>
      <c r="N14" s="8" t="s">
        <v>197</v>
      </c>
      <c r="P14" s="8" t="s">
        <v>22</v>
      </c>
      <c r="Q14" s="8" t="s">
        <v>43</v>
      </c>
      <c r="R14" s="8" t="s">
        <v>194</v>
      </c>
      <c r="S14" s="8" t="s">
        <v>195</v>
      </c>
      <c r="T14" s="8" t="s">
        <v>196</v>
      </c>
      <c r="U14" s="8" t="s">
        <v>197</v>
      </c>
    </row>
    <row r="15" spans="1:21" x14ac:dyDescent="0.25">
      <c r="A15" s="8" t="s">
        <v>18</v>
      </c>
      <c r="B15" s="8" t="s">
        <v>59</v>
      </c>
      <c r="C15" s="8">
        <v>30.3249432714539</v>
      </c>
      <c r="D15" s="8">
        <v>34.496687566750303</v>
      </c>
      <c r="E15" s="8">
        <v>32.435776747406102</v>
      </c>
      <c r="F15" s="8">
        <v>33.114568969102997</v>
      </c>
      <c r="I15" s="8" t="s">
        <v>18</v>
      </c>
      <c r="J15" s="8" t="s">
        <v>211</v>
      </c>
      <c r="K15" s="8">
        <v>3.2890433472218998E-3</v>
      </c>
      <c r="L15" s="8">
        <v>3.7415107334896999E-3</v>
      </c>
      <c r="M15" s="8">
        <v>3.5179843460236698E-3</v>
      </c>
      <c r="N15" s="8">
        <v>3.5916061503888999E-3</v>
      </c>
      <c r="P15" s="8" t="s">
        <v>18</v>
      </c>
      <c r="Q15" s="8" t="s">
        <v>232</v>
      </c>
      <c r="R15" s="8">
        <v>0.21928051995928299</v>
      </c>
      <c r="S15" s="8">
        <v>0.24944652060175901</v>
      </c>
      <c r="T15" s="8">
        <v>0.234544016349398</v>
      </c>
      <c r="U15" s="8">
        <v>0.23945238204642699</v>
      </c>
    </row>
    <row r="16" spans="1:21" x14ac:dyDescent="0.25">
      <c r="A16" s="8" t="s">
        <v>66</v>
      </c>
      <c r="B16" s="8" t="s">
        <v>0</v>
      </c>
      <c r="C16" s="8">
        <v>1.9636274348405E-5</v>
      </c>
      <c r="D16" s="8">
        <v>1.5378358317565402E-5</v>
      </c>
      <c r="E16" s="8">
        <v>1.63899653747055E-5</v>
      </c>
      <c r="F16" s="8">
        <v>1.8118473419938798E-5</v>
      </c>
      <c r="I16" s="8" t="s">
        <v>66</v>
      </c>
      <c r="J16" s="8" t="s">
        <v>211</v>
      </c>
      <c r="K16" s="8">
        <v>9.0908684811606395E-4</v>
      </c>
      <c r="L16" s="8">
        <v>7.1196109017750402E-4</v>
      </c>
      <c r="M16" s="8">
        <v>7.5879475397697799E-4</v>
      </c>
      <c r="N16" s="8">
        <v>8.3881828099151496E-4</v>
      </c>
      <c r="P16" s="8" t="s">
        <v>66</v>
      </c>
      <c r="Q16" s="8" t="s">
        <v>232</v>
      </c>
      <c r="R16" s="8">
        <v>6.0608820163898E-2</v>
      </c>
      <c r="S16" s="8">
        <v>4.7466445882134098E-2</v>
      </c>
      <c r="T16" s="8">
        <v>5.0588846247645203E-2</v>
      </c>
      <c r="U16" s="8">
        <v>5.5924014793704298E-2</v>
      </c>
    </row>
    <row r="17" spans="1:21" x14ac:dyDescent="0.25">
      <c r="A17" s="8" t="s">
        <v>213</v>
      </c>
      <c r="B17" s="8" t="s">
        <v>212</v>
      </c>
      <c r="C17" s="8">
        <v>7.0111233603335006E-5</v>
      </c>
      <c r="D17" s="8">
        <v>8.7509791672935505E-5</v>
      </c>
      <c r="E17" s="8">
        <v>7.9487359425198595E-5</v>
      </c>
      <c r="F17" s="8">
        <v>8.3371045005504096E-5</v>
      </c>
      <c r="I17" s="8" t="s">
        <v>213</v>
      </c>
      <c r="J17" s="8" t="s">
        <v>211</v>
      </c>
      <c r="K17" s="8">
        <v>0.13154059314956801</v>
      </c>
      <c r="L17" s="8">
        <v>0.164183245843012</v>
      </c>
      <c r="M17" s="8">
        <v>0.14913179913277499</v>
      </c>
      <c r="N17" s="8">
        <v>0.156418253507976</v>
      </c>
      <c r="P17" s="8" t="s">
        <v>213</v>
      </c>
      <c r="Q17" s="8" t="s">
        <v>232</v>
      </c>
      <c r="R17" s="8">
        <v>8.7698113452817008</v>
      </c>
      <c r="S17" s="8">
        <v>10.9460970003536</v>
      </c>
      <c r="T17" s="8">
        <v>9.9426170481820701</v>
      </c>
      <c r="U17" s="8">
        <v>10.4284049613767</v>
      </c>
    </row>
    <row r="18" spans="1:21" x14ac:dyDescent="0.25">
      <c r="A18" s="8" t="s">
        <v>214</v>
      </c>
      <c r="B18" s="8" t="s">
        <v>212</v>
      </c>
      <c r="C18" s="8">
        <v>5.3884042490748798E-6</v>
      </c>
      <c r="D18" s="8">
        <v>5.8706520803575099E-6</v>
      </c>
      <c r="E18" s="8">
        <v>5.5994349802317096E-6</v>
      </c>
      <c r="F18" s="8">
        <v>5.8397655293068802E-6</v>
      </c>
      <c r="I18" s="8" t="s">
        <v>214</v>
      </c>
      <c r="J18" s="8" t="s">
        <v>211</v>
      </c>
      <c r="K18" s="8">
        <v>0.146027371671204</v>
      </c>
      <c r="L18" s="8">
        <v>0.15909643257331199</v>
      </c>
      <c r="M18" s="8">
        <v>0.15174636779477399</v>
      </c>
      <c r="N18" s="8">
        <v>0.15825939777387499</v>
      </c>
      <c r="P18" s="8" t="s">
        <v>214</v>
      </c>
      <c r="Q18" s="8" t="s">
        <v>232</v>
      </c>
      <c r="R18" s="8">
        <v>9.73564486931914</v>
      </c>
      <c r="S18" s="8">
        <v>10.606959159662701</v>
      </c>
      <c r="T18" s="8">
        <v>10.1169303408776</v>
      </c>
      <c r="U18" s="8">
        <v>10.5511540495842</v>
      </c>
    </row>
    <row r="19" spans="1:21" x14ac:dyDescent="0.25">
      <c r="A19" s="8" t="s">
        <v>216</v>
      </c>
      <c r="B19" s="8" t="s">
        <v>215</v>
      </c>
      <c r="C19" s="8">
        <v>3.3304158780473297E-2</v>
      </c>
      <c r="D19" s="8">
        <v>3.8112681092168199E-2</v>
      </c>
      <c r="E19" s="8">
        <v>3.5675516839874299E-2</v>
      </c>
      <c r="F19" s="8">
        <v>3.6415055345576701E-2</v>
      </c>
      <c r="I19" s="8" t="s">
        <v>216</v>
      </c>
      <c r="J19" s="8" t="s">
        <v>211</v>
      </c>
      <c r="K19" s="8">
        <v>8.7642558163518892E-3</v>
      </c>
      <c r="L19" s="8">
        <v>1.0029656930852801E-2</v>
      </c>
      <c r="M19" s="8">
        <v>9.3882976605476308E-3</v>
      </c>
      <c r="N19" s="8">
        <v>9.5829131346312907E-3</v>
      </c>
      <c r="P19" s="8" t="s">
        <v>216</v>
      </c>
      <c r="Q19" s="8" t="s">
        <v>232</v>
      </c>
      <c r="R19" s="8">
        <v>0.584312935276177</v>
      </c>
      <c r="S19" s="8">
        <v>0.66867722757995596</v>
      </c>
      <c r="T19" s="8">
        <v>0.62591780502871297</v>
      </c>
      <c r="U19" s="8">
        <v>0.638892818685868</v>
      </c>
    </row>
    <row r="20" spans="1:21" x14ac:dyDescent="0.25">
      <c r="A20" s="8" t="s">
        <v>217</v>
      </c>
      <c r="B20" s="8" t="s">
        <v>68</v>
      </c>
      <c r="C20" s="8">
        <v>131.18458986809901</v>
      </c>
      <c r="D20" s="8">
        <v>98.629897982649894</v>
      </c>
      <c r="E20" s="8">
        <v>106.620238251087</v>
      </c>
      <c r="F20" s="8">
        <v>119.035816791908</v>
      </c>
      <c r="I20" s="8" t="s">
        <v>217</v>
      </c>
      <c r="J20" s="8" t="s">
        <v>211</v>
      </c>
      <c r="K20" s="8">
        <v>0.11609258991131299</v>
      </c>
      <c r="L20" s="8">
        <v>8.7283119999133796E-2</v>
      </c>
      <c r="M20" s="8">
        <v>9.4354219561729097E-2</v>
      </c>
      <c r="N20" s="8">
        <v>0.1053414602849</v>
      </c>
      <c r="P20" s="8" t="s">
        <v>217</v>
      </c>
      <c r="Q20" s="8" t="s">
        <v>232</v>
      </c>
      <c r="R20" s="8">
        <v>7.7398929693872596</v>
      </c>
      <c r="S20" s="8">
        <v>5.8191656103422602</v>
      </c>
      <c r="T20" s="8">
        <v>6.2905958181804804</v>
      </c>
      <c r="U20" s="8">
        <v>7.0231151571942698</v>
      </c>
    </row>
    <row r="21" spans="1:21" x14ac:dyDescent="0.25">
      <c r="A21" s="8" t="s">
        <v>219</v>
      </c>
      <c r="B21" s="8" t="s">
        <v>218</v>
      </c>
      <c r="C21" s="8">
        <v>4.6304373983466402E-4</v>
      </c>
      <c r="D21" s="8">
        <v>3.4795427886561201E-4</v>
      </c>
      <c r="E21" s="8">
        <v>3.7619266757076198E-4</v>
      </c>
      <c r="F21" s="8">
        <v>4.20113446764586E-4</v>
      </c>
      <c r="I21" s="8" t="s">
        <v>219</v>
      </c>
      <c r="J21" s="8" t="s">
        <v>211</v>
      </c>
      <c r="K21" s="8">
        <v>0</v>
      </c>
      <c r="L21" s="8">
        <v>0</v>
      </c>
      <c r="M21" s="8">
        <v>0</v>
      </c>
      <c r="N21" s="8">
        <v>0</v>
      </c>
      <c r="P21" s="8" t="s">
        <v>219</v>
      </c>
      <c r="Q21" s="8" t="s">
        <v>232</v>
      </c>
      <c r="R21" s="8">
        <v>0</v>
      </c>
      <c r="S21" s="8">
        <v>0</v>
      </c>
      <c r="T21" s="8">
        <v>0</v>
      </c>
      <c r="U21" s="8">
        <v>0</v>
      </c>
    </row>
    <row r="22" spans="1:21" x14ac:dyDescent="0.25">
      <c r="A22" s="8" t="s">
        <v>221</v>
      </c>
      <c r="B22" s="8" t="s">
        <v>220</v>
      </c>
      <c r="C22" s="8">
        <v>0.13267053740027501</v>
      </c>
      <c r="D22" s="8">
        <v>0.14409183397358799</v>
      </c>
      <c r="E22" s="8">
        <v>0.138167962502071</v>
      </c>
      <c r="F22" s="8">
        <v>0.14246852570820401</v>
      </c>
      <c r="I22" s="8" t="s">
        <v>221</v>
      </c>
      <c r="J22" s="8" t="s">
        <v>211</v>
      </c>
      <c r="K22" s="8">
        <v>4.1851849716678701E-3</v>
      </c>
      <c r="L22" s="8">
        <v>4.5454777669806301E-3</v>
      </c>
      <c r="M22" s="8">
        <v>4.3586050947015901E-3</v>
      </c>
      <c r="N22" s="8">
        <v>4.4942693714332804E-3</v>
      </c>
      <c r="P22" s="8" t="s">
        <v>221</v>
      </c>
      <c r="Q22" s="8" t="s">
        <v>232</v>
      </c>
      <c r="R22" s="8">
        <v>0.27902628206109598</v>
      </c>
      <c r="S22" s="8">
        <v>0.303047002724598</v>
      </c>
      <c r="T22" s="8">
        <v>0.29058820166375599</v>
      </c>
      <c r="U22" s="8">
        <v>0.299632938993458</v>
      </c>
    </row>
    <row r="23" spans="1:21" x14ac:dyDescent="0.25">
      <c r="A23" s="8" t="s">
        <v>223</v>
      </c>
      <c r="B23" s="8" t="s">
        <v>222</v>
      </c>
      <c r="C23" s="8">
        <v>0.26107791591413598</v>
      </c>
      <c r="D23" s="8">
        <v>0.290382043947368</v>
      </c>
      <c r="E23" s="8">
        <v>0.27546000243366597</v>
      </c>
      <c r="F23" s="8">
        <v>0.28263339125664699</v>
      </c>
      <c r="I23" s="8" t="s">
        <v>223</v>
      </c>
      <c r="J23" s="8" t="s">
        <v>211</v>
      </c>
      <c r="K23" s="8">
        <v>5.5196048670903101E-3</v>
      </c>
      <c r="L23" s="8">
        <v>6.1391410203176702E-3</v>
      </c>
      <c r="M23" s="8">
        <v>5.8236651874515703E-3</v>
      </c>
      <c r="N23" s="8">
        <v>5.9753221045915099E-3</v>
      </c>
      <c r="P23" s="8" t="s">
        <v>223</v>
      </c>
      <c r="Q23" s="8" t="s">
        <v>232</v>
      </c>
      <c r="R23" s="8">
        <v>0.36799205648891098</v>
      </c>
      <c r="S23" s="8">
        <v>0.40929653182457798</v>
      </c>
      <c r="T23" s="8">
        <v>0.38826375804739699</v>
      </c>
      <c r="U23" s="8">
        <v>0.39837472471311502</v>
      </c>
    </row>
    <row r="24" spans="1:21" x14ac:dyDescent="0.25">
      <c r="A24" s="8" t="s">
        <v>225</v>
      </c>
      <c r="B24" s="8" t="s">
        <v>224</v>
      </c>
      <c r="C24" s="8">
        <v>0.55170885186250895</v>
      </c>
      <c r="D24" s="8">
        <v>0.577538727038858</v>
      </c>
      <c r="E24" s="8">
        <v>0.55709834049359597</v>
      </c>
      <c r="F24" s="8">
        <v>0.57986904693095798</v>
      </c>
      <c r="I24" s="8" t="s">
        <v>225</v>
      </c>
      <c r="J24" s="8" t="s">
        <v>211</v>
      </c>
      <c r="K24" s="8">
        <v>3.1346993545123898E-3</v>
      </c>
      <c r="L24" s="8">
        <v>3.2814595392893901E-3</v>
      </c>
      <c r="M24" s="8">
        <v>3.1653213510165002E-3</v>
      </c>
      <c r="N24" s="8">
        <v>3.29469995085231E-3</v>
      </c>
      <c r="P24" s="8" t="s">
        <v>225</v>
      </c>
      <c r="Q24" s="8" t="s">
        <v>232</v>
      </c>
      <c r="R24" s="8">
        <v>0.20899040596534199</v>
      </c>
      <c r="S24" s="8">
        <v>0.21877490748442299</v>
      </c>
      <c r="T24" s="8">
        <v>0.21103197447227001</v>
      </c>
      <c r="U24" s="8">
        <v>0.219657645723323</v>
      </c>
    </row>
    <row r="25" spans="1:21" x14ac:dyDescent="0.25">
      <c r="A25" s="8" t="s">
        <v>45</v>
      </c>
      <c r="B25" s="8" t="s">
        <v>34</v>
      </c>
      <c r="C25" s="8">
        <v>4.06669761229091E-2</v>
      </c>
      <c r="D25" s="8">
        <v>5.3587492784205E-2</v>
      </c>
      <c r="E25" s="8">
        <v>4.7994657998501403E-2</v>
      </c>
      <c r="F25" s="8">
        <v>4.9865448412753602E-2</v>
      </c>
      <c r="I25" s="8" t="s">
        <v>45</v>
      </c>
      <c r="J25" s="8" t="s">
        <v>211</v>
      </c>
      <c r="K25" s="8">
        <v>2.74776997588227E-2</v>
      </c>
      <c r="L25" s="8">
        <v>3.6207782774460497E-2</v>
      </c>
      <c r="M25" s="8">
        <v>3.2428838537795303E-2</v>
      </c>
      <c r="N25" s="8">
        <v>3.3692886721735801E-2</v>
      </c>
      <c r="P25" s="8" t="s">
        <v>45</v>
      </c>
      <c r="Q25" s="8" t="s">
        <v>232</v>
      </c>
      <c r="R25" s="8">
        <v>1.8319382429207101</v>
      </c>
      <c r="S25" s="8">
        <v>2.4139728775732801</v>
      </c>
      <c r="T25" s="8">
        <v>2.1620306653148198</v>
      </c>
      <c r="U25" s="8">
        <v>2.2463047577381299</v>
      </c>
    </row>
    <row r="26" spans="1:21" x14ac:dyDescent="0.25">
      <c r="A26" s="8" t="s">
        <v>15</v>
      </c>
      <c r="B26" s="8" t="s">
        <v>65</v>
      </c>
      <c r="C26" s="8">
        <v>6.0916807202093699E-2</v>
      </c>
      <c r="D26" s="8">
        <v>6.8497312771966704E-2</v>
      </c>
      <c r="E26" s="8">
        <v>6.5391965464650897E-2</v>
      </c>
      <c r="F26" s="8">
        <v>6.5971713052259795E-2</v>
      </c>
      <c r="I26" s="8" t="s">
        <v>15</v>
      </c>
      <c r="J26" s="8" t="s">
        <v>211</v>
      </c>
      <c r="K26" s="8">
        <v>3.6045449490393999E-3</v>
      </c>
      <c r="L26" s="8">
        <v>4.0530955924176996E-3</v>
      </c>
      <c r="M26" s="8">
        <v>3.86934722368814E-3</v>
      </c>
      <c r="N26" s="8">
        <v>3.9036518160431E-3</v>
      </c>
      <c r="P26" s="8" t="s">
        <v>15</v>
      </c>
      <c r="Q26" s="8" t="s">
        <v>232</v>
      </c>
      <c r="R26" s="8">
        <v>0.24031501175245801</v>
      </c>
      <c r="S26" s="8">
        <v>0.27021988314648798</v>
      </c>
      <c r="T26" s="8">
        <v>0.25796937940328901</v>
      </c>
      <c r="U26" s="8">
        <v>0.26025646657559398</v>
      </c>
    </row>
    <row r="27" spans="1:21" x14ac:dyDescent="0.25">
      <c r="A27" s="8" t="s">
        <v>6</v>
      </c>
      <c r="B27" s="8" t="s">
        <v>218</v>
      </c>
      <c r="C27" s="8">
        <v>1986.5868493099399</v>
      </c>
      <c r="D27" s="8">
        <v>2450.4222579995899</v>
      </c>
      <c r="E27" s="8">
        <v>2247.4129839525199</v>
      </c>
      <c r="F27" s="8">
        <v>2333.5124118474801</v>
      </c>
      <c r="I27" s="8" t="s">
        <v>6</v>
      </c>
      <c r="J27" s="8" t="s">
        <v>211</v>
      </c>
      <c r="K27" s="8">
        <v>0.227297320950647</v>
      </c>
      <c r="L27" s="8">
        <v>0.28036751307128199</v>
      </c>
      <c r="M27" s="8">
        <v>0.257140003971912</v>
      </c>
      <c r="N27" s="8">
        <v>0.26699115611394098</v>
      </c>
      <c r="P27" s="8" t="s">
        <v>6</v>
      </c>
      <c r="Q27" s="8" t="s">
        <v>232</v>
      </c>
      <c r="R27" s="8">
        <v>15.1539123877796</v>
      </c>
      <c r="S27" s="8">
        <v>18.692102096462399</v>
      </c>
      <c r="T27" s="8">
        <v>17.143524064807298</v>
      </c>
      <c r="U27" s="8">
        <v>17.8003003781164</v>
      </c>
    </row>
    <row r="28" spans="1:21" x14ac:dyDescent="0.25">
      <c r="A28" s="8" t="s">
        <v>227</v>
      </c>
      <c r="B28" s="8" t="s">
        <v>226</v>
      </c>
      <c r="C28" s="8">
        <v>162.85872964691799</v>
      </c>
      <c r="D28" s="8">
        <v>136.785381636301</v>
      </c>
      <c r="E28" s="8">
        <v>142.27686895035501</v>
      </c>
      <c r="F28" s="8">
        <v>154.80978503911101</v>
      </c>
      <c r="I28" s="8" t="s">
        <v>227</v>
      </c>
      <c r="J28" s="8" t="s">
        <v>211</v>
      </c>
      <c r="K28" s="8">
        <v>2.17725835664965E-3</v>
      </c>
      <c r="L28" s="8">
        <v>1.8286837670956999E-3</v>
      </c>
      <c r="M28" s="8">
        <v>1.9020994609973E-3</v>
      </c>
      <c r="N28" s="8">
        <v>2.06965201618788E-3</v>
      </c>
      <c r="P28" s="8" t="s">
        <v>227</v>
      </c>
      <c r="Q28" s="8" t="s">
        <v>232</v>
      </c>
      <c r="R28" s="8">
        <v>0.14515781463783201</v>
      </c>
      <c r="S28" s="8">
        <v>0.12191834675226999</v>
      </c>
      <c r="T28" s="8">
        <v>0.12681297106469</v>
      </c>
      <c r="U28" s="8">
        <v>0.137983699919245</v>
      </c>
    </row>
    <row r="29" spans="1:21" x14ac:dyDescent="0.25">
      <c r="A29" s="8" t="s">
        <v>229</v>
      </c>
      <c r="B29" s="8" t="s">
        <v>228</v>
      </c>
      <c r="C29" s="8">
        <v>8.5573966139821503E-2</v>
      </c>
      <c r="D29" s="8">
        <v>5.0795830489510502E-2</v>
      </c>
      <c r="E29" s="8">
        <v>5.99121867722728E-2</v>
      </c>
      <c r="F29" s="8">
        <v>7.0382206488415006E-2</v>
      </c>
      <c r="I29" s="8" t="s">
        <v>229</v>
      </c>
      <c r="J29" s="8" t="s">
        <v>211</v>
      </c>
      <c r="K29" s="8">
        <v>1.05127617402775E-3</v>
      </c>
      <c r="L29" s="8">
        <v>6.2402677756369395E-4</v>
      </c>
      <c r="M29" s="8">
        <v>7.3602121449743002E-4</v>
      </c>
      <c r="N29" s="8">
        <v>8.64645406710234E-4</v>
      </c>
      <c r="P29" s="8" t="s">
        <v>229</v>
      </c>
      <c r="Q29" s="8" t="s">
        <v>232</v>
      </c>
      <c r="R29" s="8">
        <v>7.0088582522428694E-2</v>
      </c>
      <c r="S29" s="8">
        <v>4.1603865260172401E-2</v>
      </c>
      <c r="T29" s="8">
        <v>4.90705343705439E-2</v>
      </c>
      <c r="U29" s="8">
        <v>5.7645909265370901E-2</v>
      </c>
    </row>
    <row r="30" spans="1:21" x14ac:dyDescent="0.25">
      <c r="A30" s="8" t="s">
        <v>231</v>
      </c>
      <c r="B30" s="8" t="s">
        <v>230</v>
      </c>
      <c r="C30" s="8">
        <v>9.8992858378364294E-3</v>
      </c>
      <c r="D30" s="8">
        <v>1.17478962946421E-2</v>
      </c>
      <c r="E30" s="8">
        <v>1.1292217963451701E-2</v>
      </c>
      <c r="F30" s="8">
        <v>1.1215752455133E-2</v>
      </c>
      <c r="I30" s="8" t="s">
        <v>231</v>
      </c>
      <c r="J30" s="8" t="s">
        <v>211</v>
      </c>
      <c r="K30" s="8">
        <v>9.8012829080418404E-2</v>
      </c>
      <c r="L30" s="8">
        <v>0.116315921213252</v>
      </c>
      <c r="M30" s="8">
        <v>0.11180425005613601</v>
      </c>
      <c r="N30" s="8">
        <v>0.111047165058272</v>
      </c>
      <c r="P30" s="8" t="s">
        <v>231</v>
      </c>
      <c r="Q30" s="8" t="s">
        <v>232</v>
      </c>
      <c r="R30" s="8">
        <v>6.5345153147914896</v>
      </c>
      <c r="S30" s="8">
        <v>7.7547824672874999</v>
      </c>
      <c r="T30" s="8">
        <v>7.4539893512425701</v>
      </c>
      <c r="U30" s="8">
        <v>7.4035144944349698</v>
      </c>
    </row>
    <row r="31" spans="1:21" x14ac:dyDescent="0.25">
      <c r="P31" s="9" t="s">
        <v>48</v>
      </c>
      <c r="Q31" s="9" t="s">
        <v>232</v>
      </c>
      <c r="R31" s="9">
        <v>51.941487558307301</v>
      </c>
      <c r="S31" s="9">
        <v>58.563529942938104</v>
      </c>
      <c r="T31" s="9">
        <v>55.3444747752526</v>
      </c>
      <c r="U31" s="9">
        <v>57.7606143991609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Y37" sqref="Y37"/>
    </sheetView>
  </sheetViews>
  <sheetFormatPr defaultColWidth="20.77734375" defaultRowHeight="14.4" x14ac:dyDescent="0.3"/>
  <cols>
    <col min="1" max="1" width="40.77734375" style="10" customWidth="1"/>
    <col min="2" max="16384" width="20.77734375" style="10"/>
  </cols>
  <sheetData>
    <row r="1" spans="1:8" x14ac:dyDescent="0.3">
      <c r="A1" s="10" t="s">
        <v>135</v>
      </c>
    </row>
    <row r="2" spans="1:8" x14ac:dyDescent="0.3">
      <c r="A2" s="10" t="s">
        <v>238</v>
      </c>
    </row>
    <row r="3" spans="1:8" x14ac:dyDescent="0.3">
      <c r="A3" s="10" t="s">
        <v>189</v>
      </c>
    </row>
    <row r="4" spans="1:8" x14ac:dyDescent="0.3">
      <c r="A4" s="10" t="s">
        <v>234</v>
      </c>
    </row>
    <row r="5" spans="1:8" x14ac:dyDescent="0.3">
      <c r="A5" s="10" t="s">
        <v>144</v>
      </c>
    </row>
    <row r="7" spans="1:8" s="11" customFormat="1" x14ac:dyDescent="0.3"/>
    <row r="8" spans="1:8" s="11" customFormat="1" x14ac:dyDescent="0.3">
      <c r="A8" s="11" t="s">
        <v>148</v>
      </c>
      <c r="B8" s="11" t="s">
        <v>194</v>
      </c>
      <c r="C8" s="11" t="s">
        <v>166</v>
      </c>
      <c r="D8" s="11" t="s">
        <v>195</v>
      </c>
      <c r="E8" s="11" t="s">
        <v>167</v>
      </c>
      <c r="F8" s="11" t="s">
        <v>196</v>
      </c>
      <c r="G8" s="11" t="s">
        <v>168</v>
      </c>
      <c r="H8" s="11" t="s">
        <v>197</v>
      </c>
    </row>
    <row r="9" spans="1:8" x14ac:dyDescent="0.3">
      <c r="A9" s="10" t="s">
        <v>18</v>
      </c>
      <c r="B9" s="12">
        <v>87.906826453339576</v>
      </c>
      <c r="C9" s="15">
        <f t="shared" ref="C9:C24" si="0">D9-B9</f>
        <v>12.093173546660424</v>
      </c>
      <c r="D9" s="13">
        <v>100</v>
      </c>
      <c r="E9" s="13">
        <f t="shared" ref="E9:E24" si="1">F9-B9</f>
        <v>6.1189453969101919</v>
      </c>
      <c r="F9" s="12">
        <v>94.025771850249768</v>
      </c>
      <c r="G9" s="12">
        <f t="shared" ref="G9:G24" si="2">H9-B9</f>
        <v>8.0866480071491367</v>
      </c>
      <c r="H9" s="12">
        <v>95.993474460488713</v>
      </c>
    </row>
    <row r="10" spans="1:8" x14ac:dyDescent="0.3">
      <c r="A10" s="10" t="s">
        <v>66</v>
      </c>
      <c r="B10" s="13">
        <v>100</v>
      </c>
      <c r="C10" s="15">
        <f t="shared" si="0"/>
        <v>-21.683930236926344</v>
      </c>
      <c r="D10" s="14">
        <v>78.316069763073656</v>
      </c>
      <c r="E10" s="13">
        <f t="shared" si="1"/>
        <v>-16.532204205851315</v>
      </c>
      <c r="F10" s="12">
        <v>83.467795794148685</v>
      </c>
      <c r="G10" s="12">
        <f t="shared" si="2"/>
        <v>-7.7295769122794837</v>
      </c>
      <c r="H10" s="12">
        <v>92.270423087720516</v>
      </c>
    </row>
    <row r="11" spans="1:8" x14ac:dyDescent="0.3">
      <c r="A11" s="10" t="s">
        <v>213</v>
      </c>
      <c r="B11" s="12">
        <v>80.118158508904941</v>
      </c>
      <c r="C11" s="15">
        <f t="shared" si="0"/>
        <v>19.881841491095059</v>
      </c>
      <c r="D11" s="13">
        <v>100</v>
      </c>
      <c r="E11" s="13">
        <f t="shared" si="1"/>
        <v>10.714373377674775</v>
      </c>
      <c r="F11" s="12">
        <v>90.832531886579716</v>
      </c>
      <c r="G11" s="12">
        <f t="shared" si="2"/>
        <v>15.152374549955695</v>
      </c>
      <c r="H11" s="12">
        <v>95.270533058860636</v>
      </c>
    </row>
    <row r="12" spans="1:8" x14ac:dyDescent="0.3">
      <c r="A12" s="10" t="s">
        <v>214</v>
      </c>
      <c r="B12" s="12">
        <v>91.785446920007885</v>
      </c>
      <c r="C12" s="15">
        <f t="shared" si="0"/>
        <v>8.2145530799921147</v>
      </c>
      <c r="D12" s="13">
        <v>100</v>
      </c>
      <c r="E12" s="13">
        <f t="shared" si="1"/>
        <v>3.5946727598269916</v>
      </c>
      <c r="F12" s="12">
        <v>95.380119679834877</v>
      </c>
      <c r="G12" s="12">
        <f t="shared" si="2"/>
        <v>7.6884351866499543</v>
      </c>
      <c r="H12" s="12">
        <v>99.47388210665784</v>
      </c>
    </row>
    <row r="13" spans="1:8" x14ac:dyDescent="0.3">
      <c r="A13" s="10" t="s">
        <v>216</v>
      </c>
      <c r="B13" s="12">
        <v>87.383405801165154</v>
      </c>
      <c r="C13" s="15">
        <f t="shared" si="0"/>
        <v>12.616594198834846</v>
      </c>
      <c r="D13" s="13">
        <v>100</v>
      </c>
      <c r="E13" s="13">
        <f t="shared" si="1"/>
        <v>6.2219660004144544</v>
      </c>
      <c r="F13" s="12">
        <v>93.605371801579608</v>
      </c>
      <c r="G13" s="12">
        <f t="shared" si="2"/>
        <v>8.1623661100628482</v>
      </c>
      <c r="H13" s="12">
        <v>95.545771911228002</v>
      </c>
    </row>
    <row r="14" spans="1:8" x14ac:dyDescent="0.3">
      <c r="A14" s="10" t="s">
        <v>217</v>
      </c>
      <c r="B14" s="13">
        <v>100</v>
      </c>
      <c r="C14" s="15">
        <f t="shared" si="0"/>
        <v>-24.81594211498593</v>
      </c>
      <c r="D14" s="14">
        <v>75.18405788501407</v>
      </c>
      <c r="E14" s="13">
        <f t="shared" si="1"/>
        <v>-18.725028329707357</v>
      </c>
      <c r="F14" s="12">
        <v>81.274971670292643</v>
      </c>
      <c r="G14" s="12">
        <f t="shared" si="2"/>
        <v>-9.2608233089009389</v>
      </c>
      <c r="H14" s="12">
        <v>90.739176691099061</v>
      </c>
    </row>
    <row r="15" spans="1:8" x14ac:dyDescent="0.3">
      <c r="A15" s="10" t="s">
        <v>219</v>
      </c>
      <c r="B15" s="13">
        <v>100</v>
      </c>
      <c r="C15" s="15">
        <f t="shared" si="0"/>
        <v>-24.854986919841821</v>
      </c>
      <c r="D15" s="14">
        <v>75.145013080158179</v>
      </c>
      <c r="E15" s="13">
        <f t="shared" si="1"/>
        <v>-18.756559001297234</v>
      </c>
      <c r="F15" s="12">
        <v>81.243440998702766</v>
      </c>
      <c r="G15" s="12">
        <f t="shared" si="2"/>
        <v>-9.2713256603808389</v>
      </c>
      <c r="H15" s="12">
        <v>90.728674339619161</v>
      </c>
    </row>
    <row r="16" spans="1:8" x14ac:dyDescent="0.3">
      <c r="A16" s="10" t="s">
        <v>221</v>
      </c>
      <c r="B16" s="12">
        <v>92.073598997007082</v>
      </c>
      <c r="C16" s="15">
        <f t="shared" si="0"/>
        <v>7.9264010029929182</v>
      </c>
      <c r="D16" s="13">
        <v>100</v>
      </c>
      <c r="E16" s="13">
        <f t="shared" si="1"/>
        <v>3.8152232157749211</v>
      </c>
      <c r="F16" s="12">
        <v>95.888822212782003</v>
      </c>
      <c r="G16" s="12">
        <f t="shared" si="2"/>
        <v>6.7998220563455192</v>
      </c>
      <c r="H16" s="12">
        <v>98.873421053352601</v>
      </c>
    </row>
    <row r="17" spans="1:8" x14ac:dyDescent="0.3">
      <c r="A17" s="10" t="s">
        <v>223</v>
      </c>
      <c r="B17" s="12">
        <v>89.908422836729201</v>
      </c>
      <c r="C17" s="15">
        <f t="shared" si="0"/>
        <v>10.091577163270799</v>
      </c>
      <c r="D17" s="13">
        <v>100</v>
      </c>
      <c r="E17" s="13">
        <f t="shared" si="1"/>
        <v>4.9528153752291502</v>
      </c>
      <c r="F17" s="12">
        <v>94.861238211958351</v>
      </c>
      <c r="G17" s="12">
        <f t="shared" si="2"/>
        <v>7.4231433354115239</v>
      </c>
      <c r="H17" s="12">
        <v>97.331566172140725</v>
      </c>
    </row>
    <row r="18" spans="1:8" x14ac:dyDescent="0.3">
      <c r="A18" s="10" t="s">
        <v>225</v>
      </c>
      <c r="B18" s="12">
        <v>95.143697492133555</v>
      </c>
      <c r="C18" s="15">
        <f t="shared" si="0"/>
        <v>4.4544324814468439</v>
      </c>
      <c r="D18" s="12">
        <v>99.598129973580399</v>
      </c>
      <c r="E18" s="13">
        <f t="shared" si="1"/>
        <v>0.9294320260085982</v>
      </c>
      <c r="F18" s="12">
        <v>96.073129518142153</v>
      </c>
      <c r="G18" s="12">
        <f t="shared" si="2"/>
        <v>4.8563025078664452</v>
      </c>
      <c r="H18" s="13">
        <v>100</v>
      </c>
    </row>
    <row r="19" spans="1:8" x14ac:dyDescent="0.3">
      <c r="A19" s="10" t="s">
        <v>45</v>
      </c>
      <c r="B19" s="12">
        <v>75.88893230491982</v>
      </c>
      <c r="C19" s="15">
        <f t="shared" si="0"/>
        <v>24.11106769508018</v>
      </c>
      <c r="D19" s="13">
        <v>100</v>
      </c>
      <c r="E19" s="13">
        <f t="shared" si="1"/>
        <v>13.674239071233757</v>
      </c>
      <c r="F19" s="12">
        <v>89.563171376153576</v>
      </c>
      <c r="G19" s="12">
        <f t="shared" si="2"/>
        <v>17.165334319495869</v>
      </c>
      <c r="H19" s="12">
        <v>93.054266624415689</v>
      </c>
    </row>
    <row r="20" spans="1:8" x14ac:dyDescent="0.3">
      <c r="A20" s="10" t="s">
        <v>15</v>
      </c>
      <c r="B20" s="12">
        <v>88.933134362352163</v>
      </c>
      <c r="C20" s="15">
        <f t="shared" si="0"/>
        <v>11.066865637647837</v>
      </c>
      <c r="D20" s="13">
        <v>100</v>
      </c>
      <c r="E20" s="13">
        <f t="shared" si="1"/>
        <v>6.5333340556809532</v>
      </c>
      <c r="F20" s="12">
        <v>95.466468418033116</v>
      </c>
      <c r="G20" s="12">
        <f t="shared" si="2"/>
        <v>7.3797141020615271</v>
      </c>
      <c r="H20" s="12">
        <v>96.31284846441369</v>
      </c>
    </row>
    <row r="21" spans="1:8" x14ac:dyDescent="0.3">
      <c r="A21" s="10" t="s">
        <v>6</v>
      </c>
      <c r="B21" s="12">
        <v>81.071204884161347</v>
      </c>
      <c r="C21" s="15">
        <f t="shared" si="0"/>
        <v>18.928795115838653</v>
      </c>
      <c r="D21" s="13">
        <v>100</v>
      </c>
      <c r="E21" s="13">
        <f t="shared" si="1"/>
        <v>10.64413016128502</v>
      </c>
      <c r="F21" s="12">
        <v>91.715335045446366</v>
      </c>
      <c r="G21" s="12">
        <f t="shared" si="2"/>
        <v>14.157786944881323</v>
      </c>
      <c r="H21" s="12">
        <v>95.22899182904267</v>
      </c>
    </row>
    <row r="22" spans="1:8" x14ac:dyDescent="0.3">
      <c r="A22" s="10" t="s">
        <v>227</v>
      </c>
      <c r="B22" s="13">
        <v>100</v>
      </c>
      <c r="C22" s="15">
        <f t="shared" si="0"/>
        <v>-16.009794542266803</v>
      </c>
      <c r="D22" s="12">
        <v>83.990205457733197</v>
      </c>
      <c r="E22" s="13">
        <f t="shared" si="1"/>
        <v>-12.637861501919417</v>
      </c>
      <c r="F22" s="12">
        <v>87.362138498080583</v>
      </c>
      <c r="G22" s="12">
        <f t="shared" si="2"/>
        <v>-4.9422862534032106</v>
      </c>
      <c r="H22" s="12">
        <v>95.057713746596789</v>
      </c>
    </row>
    <row r="23" spans="1:8" x14ac:dyDescent="0.3">
      <c r="A23" s="10" t="s">
        <v>229</v>
      </c>
      <c r="B23" s="13">
        <v>100</v>
      </c>
      <c r="C23" s="15">
        <f t="shared" si="0"/>
        <v>-40.641023455061202</v>
      </c>
      <c r="D23" s="12">
        <v>59.358976544938798</v>
      </c>
      <c r="E23" s="13">
        <f t="shared" si="1"/>
        <v>-29.987834530912465</v>
      </c>
      <c r="F23" s="12">
        <v>70.012165469087535</v>
      </c>
      <c r="G23" s="12">
        <f t="shared" si="2"/>
        <v>-17.752781992813411</v>
      </c>
      <c r="H23" s="12">
        <v>82.247218007186589</v>
      </c>
    </row>
    <row r="24" spans="1:8" x14ac:dyDescent="0.3">
      <c r="A24" s="10" t="s">
        <v>231</v>
      </c>
      <c r="B24" s="12">
        <v>84.264327753311804</v>
      </c>
      <c r="C24" s="15">
        <f t="shared" si="0"/>
        <v>15.735672246688196</v>
      </c>
      <c r="D24" s="13">
        <v>100</v>
      </c>
      <c r="E24" s="13">
        <f t="shared" si="1"/>
        <v>11.856864332813231</v>
      </c>
      <c r="F24" s="12">
        <v>96.121192086125035</v>
      </c>
      <c r="G24" s="12">
        <f t="shared" si="2"/>
        <v>11.205977515284644</v>
      </c>
      <c r="H24" s="12">
        <v>95.470305268596448</v>
      </c>
    </row>
    <row r="29" spans="1:8" x14ac:dyDescent="0.3">
      <c r="A29" s="10" t="s">
        <v>148</v>
      </c>
      <c r="B29" s="10" t="s">
        <v>166</v>
      </c>
      <c r="C29" s="10" t="s">
        <v>167</v>
      </c>
      <c r="D29" s="10" t="s">
        <v>168</v>
      </c>
    </row>
    <row r="30" spans="1:8" x14ac:dyDescent="0.3">
      <c r="A30" s="10" t="s">
        <v>18</v>
      </c>
      <c r="B30" s="15">
        <v>12.093173546660424</v>
      </c>
      <c r="C30" s="15">
        <v>6.1189453969101919</v>
      </c>
      <c r="D30" s="15">
        <v>8.0866480071491367</v>
      </c>
    </row>
    <row r="31" spans="1:8" x14ac:dyDescent="0.3">
      <c r="A31" s="10" t="s">
        <v>66</v>
      </c>
      <c r="B31" s="15">
        <v>-21.683930236926344</v>
      </c>
      <c r="C31" s="15">
        <v>-16.532204205851315</v>
      </c>
      <c r="D31" s="15">
        <v>-7.7295769122794837</v>
      </c>
    </row>
    <row r="32" spans="1:8" x14ac:dyDescent="0.3">
      <c r="A32" s="10" t="s">
        <v>213</v>
      </c>
      <c r="B32" s="15">
        <v>19.881841491095059</v>
      </c>
      <c r="C32" s="15">
        <v>10.714373377674775</v>
      </c>
      <c r="D32" s="15">
        <v>15.152374549955695</v>
      </c>
    </row>
    <row r="33" spans="1:4" x14ac:dyDescent="0.3">
      <c r="A33" s="10" t="s">
        <v>214</v>
      </c>
      <c r="B33" s="15">
        <v>8.2145530799921147</v>
      </c>
      <c r="C33" s="15">
        <v>3.5946727598269916</v>
      </c>
      <c r="D33" s="15">
        <v>7.6884351866499543</v>
      </c>
    </row>
    <row r="34" spans="1:4" x14ac:dyDescent="0.3">
      <c r="A34" s="10" t="s">
        <v>216</v>
      </c>
      <c r="B34" s="15">
        <v>12.616594198834846</v>
      </c>
      <c r="C34" s="15">
        <v>6.2219660004144544</v>
      </c>
      <c r="D34" s="15">
        <v>8.1623661100628482</v>
      </c>
    </row>
    <row r="35" spans="1:4" x14ac:dyDescent="0.3">
      <c r="A35" s="10" t="s">
        <v>217</v>
      </c>
      <c r="B35" s="15">
        <v>-24.81594211498593</v>
      </c>
      <c r="C35" s="15">
        <v>-18.725028329707357</v>
      </c>
      <c r="D35" s="15">
        <v>-9.2608233089009389</v>
      </c>
    </row>
    <row r="36" spans="1:4" x14ac:dyDescent="0.3">
      <c r="A36" s="10" t="s">
        <v>219</v>
      </c>
      <c r="B36" s="15">
        <v>-24.854986919841821</v>
      </c>
      <c r="C36" s="15">
        <v>-18.756559001297234</v>
      </c>
      <c r="D36" s="15">
        <v>-9.2713256603808389</v>
      </c>
    </row>
    <row r="37" spans="1:4" x14ac:dyDescent="0.3">
      <c r="A37" s="10" t="s">
        <v>221</v>
      </c>
      <c r="B37" s="15">
        <v>7.9264010029929182</v>
      </c>
      <c r="C37" s="15">
        <v>3.8152232157749211</v>
      </c>
      <c r="D37" s="15">
        <v>6.7998220563455192</v>
      </c>
    </row>
    <row r="38" spans="1:4" x14ac:dyDescent="0.3">
      <c r="A38" s="10" t="s">
        <v>223</v>
      </c>
      <c r="B38" s="15">
        <v>10.091577163270799</v>
      </c>
      <c r="C38" s="15">
        <v>4.9528153752291502</v>
      </c>
      <c r="D38" s="15">
        <v>7.4231433354115239</v>
      </c>
    </row>
    <row r="39" spans="1:4" x14ac:dyDescent="0.3">
      <c r="A39" s="10" t="s">
        <v>225</v>
      </c>
      <c r="B39" s="15">
        <v>4.4544324814468439</v>
      </c>
      <c r="C39" s="15">
        <v>0.9294320260085982</v>
      </c>
      <c r="D39" s="15">
        <v>4.8563025078664452</v>
      </c>
    </row>
    <row r="40" spans="1:4" x14ac:dyDescent="0.3">
      <c r="A40" s="10" t="s">
        <v>45</v>
      </c>
      <c r="B40" s="15">
        <v>24.11106769508018</v>
      </c>
      <c r="C40" s="15">
        <v>13.674239071233757</v>
      </c>
      <c r="D40" s="15">
        <v>17.165334319495869</v>
      </c>
    </row>
    <row r="41" spans="1:4" x14ac:dyDescent="0.3">
      <c r="A41" s="10" t="s">
        <v>15</v>
      </c>
      <c r="B41" s="15">
        <v>11.066865637647837</v>
      </c>
      <c r="C41" s="15">
        <v>6.5333340556809532</v>
      </c>
      <c r="D41" s="15">
        <v>7.3797141020615271</v>
      </c>
    </row>
    <row r="42" spans="1:4" x14ac:dyDescent="0.3">
      <c r="A42" s="10" t="s">
        <v>6</v>
      </c>
      <c r="B42" s="15">
        <v>18.928795115838653</v>
      </c>
      <c r="C42" s="15">
        <v>10.64413016128502</v>
      </c>
      <c r="D42" s="15">
        <v>14.157786944881323</v>
      </c>
    </row>
    <row r="43" spans="1:4" x14ac:dyDescent="0.3">
      <c r="A43" s="10" t="s">
        <v>227</v>
      </c>
      <c r="B43" s="15">
        <v>-16.009794542266803</v>
      </c>
      <c r="C43" s="15">
        <v>-12.637861501919417</v>
      </c>
      <c r="D43" s="15">
        <v>-4.9422862534032106</v>
      </c>
    </row>
    <row r="44" spans="1:4" x14ac:dyDescent="0.3">
      <c r="A44" s="10" t="s">
        <v>229</v>
      </c>
      <c r="B44" s="15">
        <v>-40.641023455061202</v>
      </c>
      <c r="C44" s="15">
        <v>-29.987834530912465</v>
      </c>
      <c r="D44" s="15">
        <v>-17.752781992813411</v>
      </c>
    </row>
    <row r="45" spans="1:4" x14ac:dyDescent="0.3">
      <c r="A45" s="10" t="s">
        <v>231</v>
      </c>
      <c r="B45" s="15">
        <v>15.735672246688196</v>
      </c>
      <c r="C45" s="15">
        <v>11.856864332813231</v>
      </c>
      <c r="D45" s="15">
        <v>11.205977515284644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M16" zoomScale="123" zoomScaleNormal="123" workbookViewId="0">
      <selection activeCell="O1" sqref="O1:P1048576"/>
    </sheetView>
  </sheetViews>
  <sheetFormatPr defaultRowHeight="13.2" x14ac:dyDescent="0.25"/>
  <cols>
    <col min="6" max="8" width="8.88671875" style="7"/>
    <col min="12" max="12" width="17.44140625" bestFit="1" customWidth="1"/>
    <col min="13" max="13" width="17.44140625" style="7" customWidth="1"/>
    <col min="14" max="14" width="16.6640625" bestFit="1" customWidth="1"/>
  </cols>
  <sheetData>
    <row r="1" spans="1:20" ht="14.4" x14ac:dyDescent="0.3">
      <c r="A1" s="7" t="s">
        <v>258</v>
      </c>
      <c r="B1" s="7"/>
      <c r="C1" s="7"/>
      <c r="D1" s="7"/>
      <c r="E1" s="7"/>
      <c r="I1" s="25" t="s">
        <v>148</v>
      </c>
      <c r="J1" s="25" t="s">
        <v>260</v>
      </c>
      <c r="K1" s="25" t="s">
        <v>261</v>
      </c>
      <c r="L1" s="25" t="s">
        <v>262</v>
      </c>
      <c r="M1" s="25" t="s">
        <v>263</v>
      </c>
      <c r="O1" t="s">
        <v>166</v>
      </c>
      <c r="P1" s="7"/>
      <c r="Q1" t="s">
        <v>167</v>
      </c>
      <c r="R1" s="7"/>
      <c r="S1" t="s">
        <v>168</v>
      </c>
    </row>
    <row r="2" spans="1:20" x14ac:dyDescent="0.25">
      <c r="A2" s="7" t="s">
        <v>265</v>
      </c>
      <c r="B2" s="7"/>
      <c r="C2" s="7"/>
      <c r="D2" s="7"/>
      <c r="E2" s="7"/>
      <c r="I2" s="7" t="s">
        <v>18</v>
      </c>
      <c r="J2" s="26">
        <v>89.247124805841409</v>
      </c>
      <c r="K2" s="26">
        <v>86.369237868988051</v>
      </c>
      <c r="L2" s="26">
        <v>90.620600395859014</v>
      </c>
      <c r="M2" s="27">
        <v>100</v>
      </c>
      <c r="O2" s="29">
        <f>K2-J2</f>
        <v>-2.8778869368533577</v>
      </c>
      <c r="P2" s="29">
        <f>O2+100</f>
        <v>97.122113063146642</v>
      </c>
      <c r="Q2" s="29">
        <f>L2-J2</f>
        <v>1.3734755900176054</v>
      </c>
      <c r="R2" s="29">
        <f>Q2+100</f>
        <v>101.37347559001761</v>
      </c>
      <c r="S2" s="29">
        <f>M2-J2</f>
        <v>10.752875194158591</v>
      </c>
      <c r="T2" s="29">
        <f>S2+100</f>
        <v>110.75287519415859</v>
      </c>
    </row>
    <row r="3" spans="1:20" x14ac:dyDescent="0.25">
      <c r="A3" s="7" t="s">
        <v>259</v>
      </c>
      <c r="B3" s="7"/>
      <c r="C3" s="7"/>
      <c r="D3" s="7"/>
      <c r="E3" s="7"/>
      <c r="I3" s="7" t="s">
        <v>66</v>
      </c>
      <c r="J3" s="26">
        <v>90.019435348878076</v>
      </c>
      <c r="K3" s="26">
        <v>84.406805247974205</v>
      </c>
      <c r="L3" s="26">
        <v>90.069390173160926</v>
      </c>
      <c r="M3" s="27">
        <v>100</v>
      </c>
      <c r="O3" s="29">
        <f>K3-J3</f>
        <v>-5.6126301009038713</v>
      </c>
      <c r="P3" s="29">
        <f>O3+100</f>
        <v>94.387369899096129</v>
      </c>
      <c r="Q3" s="29">
        <f>L3-J3</f>
        <v>4.9954824282849586E-2</v>
      </c>
      <c r="R3" s="29">
        <f t="shared" ref="R3:R19" si="0">Q3+100</f>
        <v>100.04995482428285</v>
      </c>
      <c r="S3" s="29">
        <f>M3-J3</f>
        <v>9.9805646511219237</v>
      </c>
      <c r="T3" s="29">
        <f t="shared" ref="T3:T19" si="1">S3+100</f>
        <v>109.98056465112192</v>
      </c>
    </row>
    <row r="4" spans="1:20" x14ac:dyDescent="0.25">
      <c r="A4" s="7" t="s">
        <v>141</v>
      </c>
      <c r="B4" s="7"/>
      <c r="C4" s="7"/>
      <c r="D4" s="7"/>
      <c r="E4" s="7"/>
      <c r="I4" s="7" t="s">
        <v>47</v>
      </c>
      <c r="J4" s="26">
        <v>89.556425809281393</v>
      </c>
      <c r="K4" s="26">
        <v>87.666472677259236</v>
      </c>
      <c r="L4" s="26">
        <v>91.109259294945687</v>
      </c>
      <c r="M4" s="27">
        <v>100</v>
      </c>
      <c r="O4" s="29">
        <f>K4-J4</f>
        <v>-1.889953132022157</v>
      </c>
      <c r="P4" s="29">
        <f t="shared" ref="P4:P19" si="2">O4+100</f>
        <v>98.110046867977843</v>
      </c>
      <c r="Q4" s="29">
        <f>L4-J4</f>
        <v>1.5528334856642942</v>
      </c>
      <c r="R4" s="29">
        <f t="shared" si="0"/>
        <v>101.55283348566429</v>
      </c>
      <c r="S4" s="29">
        <f>M4-J4</f>
        <v>10.443574190718607</v>
      </c>
      <c r="T4" s="29">
        <f t="shared" si="1"/>
        <v>110.44357419071861</v>
      </c>
    </row>
    <row r="5" spans="1:20" x14ac:dyDescent="0.25">
      <c r="A5" s="7" t="s">
        <v>144</v>
      </c>
      <c r="B5" s="7"/>
      <c r="C5" s="7"/>
      <c r="D5" s="7"/>
      <c r="E5" s="7"/>
      <c r="I5" s="7" t="s">
        <v>45</v>
      </c>
      <c r="J5" s="26">
        <v>89.045715122955102</v>
      </c>
      <c r="K5" s="26">
        <v>89.079498366381699</v>
      </c>
      <c r="L5" s="26">
        <v>90.738305313208514</v>
      </c>
      <c r="M5" s="27">
        <v>100</v>
      </c>
      <c r="O5" s="29">
        <f>K5-J5</f>
        <v>3.3783243426597664E-2</v>
      </c>
      <c r="P5" s="29">
        <f t="shared" si="2"/>
        <v>100.0337832434266</v>
      </c>
      <c r="Q5" s="29">
        <f>L5-J5</f>
        <v>1.6925901902534122</v>
      </c>
      <c r="R5" s="29">
        <f t="shared" si="0"/>
        <v>101.69259019025341</v>
      </c>
      <c r="S5" s="29">
        <f>M5-J5</f>
        <v>10.954284877044898</v>
      </c>
      <c r="T5" s="29">
        <f t="shared" si="1"/>
        <v>110.9542848770449</v>
      </c>
    </row>
    <row r="6" spans="1:20" x14ac:dyDescent="0.25">
      <c r="A6" s="7"/>
      <c r="B6" s="7"/>
      <c r="C6" s="7"/>
      <c r="D6" s="7"/>
      <c r="E6" s="7"/>
      <c r="I6" s="7" t="s">
        <v>15</v>
      </c>
      <c r="J6" s="26">
        <v>90.899865998296761</v>
      </c>
      <c r="K6" s="26">
        <v>93.794392187616481</v>
      </c>
      <c r="L6" s="26">
        <v>95.351562488194702</v>
      </c>
      <c r="M6" s="27">
        <v>100</v>
      </c>
      <c r="O6" s="29">
        <f>K6-J6</f>
        <v>2.8945261893197198</v>
      </c>
      <c r="P6" s="29">
        <f t="shared" si="2"/>
        <v>102.89452618931972</v>
      </c>
      <c r="Q6" s="29">
        <f>L6-J6</f>
        <v>4.451696489897941</v>
      </c>
      <c r="R6" s="29">
        <f t="shared" si="0"/>
        <v>104.45169648989794</v>
      </c>
      <c r="S6" s="29">
        <f>M6-J6</f>
        <v>9.1001340017032391</v>
      </c>
      <c r="T6" s="29">
        <f t="shared" si="1"/>
        <v>109.10013400170324</v>
      </c>
    </row>
    <row r="7" spans="1:20" ht="14.4" x14ac:dyDescent="0.3">
      <c r="A7" s="25"/>
      <c r="B7" s="25"/>
      <c r="C7" s="25"/>
      <c r="D7" s="25"/>
      <c r="E7" s="25"/>
      <c r="F7" s="25"/>
      <c r="G7" s="25"/>
      <c r="H7" s="25"/>
      <c r="I7" s="7" t="s">
        <v>56</v>
      </c>
      <c r="J7" s="26">
        <v>88.716448575775345</v>
      </c>
      <c r="K7" s="26">
        <v>95.290313194001669</v>
      </c>
      <c r="L7" s="26">
        <v>92.404508098832821</v>
      </c>
      <c r="M7" s="27">
        <v>100</v>
      </c>
      <c r="O7" s="29">
        <f>K7-J7</f>
        <v>6.5738646182263238</v>
      </c>
      <c r="P7" s="29">
        <f t="shared" si="2"/>
        <v>106.57386461822632</v>
      </c>
      <c r="Q7" s="29">
        <f>L7-J7</f>
        <v>3.6880595230574755</v>
      </c>
      <c r="R7" s="29">
        <f t="shared" si="0"/>
        <v>103.68805952305748</v>
      </c>
      <c r="S7" s="29">
        <f>M7-J7</f>
        <v>11.283551424224655</v>
      </c>
      <c r="T7" s="29">
        <f t="shared" si="1"/>
        <v>111.28355142422465</v>
      </c>
    </row>
    <row r="8" spans="1:20" ht="14.4" x14ac:dyDescent="0.3">
      <c r="A8" s="25" t="s">
        <v>148</v>
      </c>
      <c r="B8" s="25" t="s">
        <v>260</v>
      </c>
      <c r="C8" s="25" t="s">
        <v>261</v>
      </c>
      <c r="D8" s="25" t="s">
        <v>262</v>
      </c>
      <c r="E8" s="25" t="s">
        <v>263</v>
      </c>
      <c r="F8" s="25"/>
      <c r="G8" s="25"/>
      <c r="H8" s="25"/>
      <c r="I8" s="7" t="s">
        <v>26</v>
      </c>
      <c r="J8" s="26">
        <v>89.368368155989543</v>
      </c>
      <c r="K8" s="26">
        <v>89.148746923846772</v>
      </c>
      <c r="L8" s="26">
        <v>91.723887164472728</v>
      </c>
      <c r="M8" s="27">
        <v>100</v>
      </c>
      <c r="O8" s="29">
        <f>K8-J8</f>
        <v>-0.21962123214277085</v>
      </c>
      <c r="P8" s="29">
        <f t="shared" si="2"/>
        <v>99.780378767857229</v>
      </c>
      <c r="Q8" s="29">
        <f>L8-J8</f>
        <v>2.355519008483185</v>
      </c>
      <c r="R8" s="29">
        <f t="shared" si="0"/>
        <v>102.35551900848318</v>
      </c>
      <c r="S8" s="29">
        <f>M8-J8</f>
        <v>10.631631844010457</v>
      </c>
      <c r="T8" s="29">
        <f t="shared" si="1"/>
        <v>110.63163184401046</v>
      </c>
    </row>
    <row r="9" spans="1:20" x14ac:dyDescent="0.25">
      <c r="A9" s="7" t="s">
        <v>18</v>
      </c>
      <c r="B9" s="26">
        <v>89.247124805841409</v>
      </c>
      <c r="C9" s="26">
        <v>86.369237868988051</v>
      </c>
      <c r="D9" s="26">
        <v>90.620600395859014</v>
      </c>
      <c r="E9" s="27">
        <v>100</v>
      </c>
      <c r="F9" s="27"/>
      <c r="G9" s="27"/>
      <c r="H9" s="27"/>
      <c r="I9" s="7" t="s">
        <v>31</v>
      </c>
      <c r="J9" s="26">
        <v>89.473756986215776</v>
      </c>
      <c r="K9" s="26">
        <v>89.619274395245625</v>
      </c>
      <c r="L9" s="26">
        <v>91.841735265016723</v>
      </c>
      <c r="M9" s="27">
        <v>100</v>
      </c>
      <c r="O9" s="29">
        <f>K9-J9</f>
        <v>0.14551740902984989</v>
      </c>
      <c r="P9" s="29">
        <f t="shared" si="2"/>
        <v>100.14551740902985</v>
      </c>
      <c r="Q9" s="29">
        <f>L9-J9</f>
        <v>2.3679782788009476</v>
      </c>
      <c r="R9" s="29">
        <f t="shared" si="0"/>
        <v>102.36797827880095</v>
      </c>
      <c r="S9" s="29">
        <f>M9-J9</f>
        <v>10.526243013784224</v>
      </c>
      <c r="T9" s="29">
        <f t="shared" si="1"/>
        <v>110.52624301378422</v>
      </c>
    </row>
    <row r="10" spans="1:20" x14ac:dyDescent="0.25">
      <c r="A10" s="7" t="s">
        <v>66</v>
      </c>
      <c r="B10" s="26">
        <v>90.019435348878076</v>
      </c>
      <c r="C10" s="26">
        <v>84.406805247974205</v>
      </c>
      <c r="D10" s="26">
        <v>90.069390173160926</v>
      </c>
      <c r="E10" s="27">
        <v>100</v>
      </c>
      <c r="F10" s="27"/>
      <c r="G10" s="27"/>
      <c r="H10" s="27"/>
      <c r="I10" s="7" t="s">
        <v>64</v>
      </c>
      <c r="J10" s="26">
        <v>60.302135918641021</v>
      </c>
      <c r="K10" s="28">
        <v>62.035079108236616</v>
      </c>
      <c r="L10" s="28">
        <v>95.365007398820438</v>
      </c>
      <c r="M10" s="27">
        <v>100</v>
      </c>
      <c r="O10" s="29">
        <f>K10-J10</f>
        <v>1.7329431895955949</v>
      </c>
      <c r="P10" s="29">
        <f t="shared" si="2"/>
        <v>101.7329431895956</v>
      </c>
      <c r="Q10" s="29">
        <f>L10-J10</f>
        <v>35.062871480179417</v>
      </c>
      <c r="R10" s="29">
        <f t="shared" si="0"/>
        <v>135.06287148017941</v>
      </c>
      <c r="S10" s="29">
        <f>M10-J10</f>
        <v>39.697864081358979</v>
      </c>
      <c r="T10" s="29">
        <f t="shared" si="1"/>
        <v>139.69786408135897</v>
      </c>
    </row>
    <row r="11" spans="1:20" x14ac:dyDescent="0.25">
      <c r="A11" s="7" t="s">
        <v>47</v>
      </c>
      <c r="B11" s="26">
        <v>89.556425809281393</v>
      </c>
      <c r="C11" s="26">
        <v>87.666472677259236</v>
      </c>
      <c r="D11" s="26">
        <v>91.109259294945687</v>
      </c>
      <c r="E11" s="27">
        <v>100</v>
      </c>
      <c r="F11" s="27"/>
      <c r="G11" s="27"/>
      <c r="H11" s="27"/>
      <c r="I11" s="7" t="s">
        <v>6</v>
      </c>
      <c r="J11" s="26">
        <v>88.907546226086112</v>
      </c>
      <c r="K11" s="26">
        <v>92.348308190843781</v>
      </c>
      <c r="L11" s="26">
        <v>91.93120458600248</v>
      </c>
      <c r="M11" s="27">
        <v>100</v>
      </c>
      <c r="O11" s="29">
        <f>K11-J11</f>
        <v>3.4407619647576695</v>
      </c>
      <c r="P11" s="29">
        <f t="shared" si="2"/>
        <v>103.44076196475767</v>
      </c>
      <c r="Q11" s="29">
        <f>L11-J11</f>
        <v>3.023658359916368</v>
      </c>
      <c r="R11" s="29">
        <f t="shared" si="0"/>
        <v>103.02365835991637</v>
      </c>
      <c r="S11" s="29">
        <f>M11-J11</f>
        <v>11.092453773913888</v>
      </c>
      <c r="T11" s="29">
        <f t="shared" si="1"/>
        <v>111.09245377391389</v>
      </c>
    </row>
    <row r="12" spans="1:20" x14ac:dyDescent="0.25">
      <c r="A12" s="7" t="s">
        <v>45</v>
      </c>
      <c r="B12" s="26">
        <v>89.045715122955102</v>
      </c>
      <c r="C12" s="26">
        <v>89.079498366381699</v>
      </c>
      <c r="D12" s="26">
        <v>90.738305313208514</v>
      </c>
      <c r="E12" s="27">
        <v>100</v>
      </c>
      <c r="F12" s="27"/>
      <c r="G12" s="27"/>
      <c r="H12" s="27"/>
      <c r="I12" s="7" t="s">
        <v>14</v>
      </c>
      <c r="J12" s="26">
        <v>89.067712920421314</v>
      </c>
      <c r="K12" s="26">
        <v>92.155375930919618</v>
      </c>
      <c r="L12" s="26">
        <v>91.860304329438719</v>
      </c>
      <c r="M12" s="27">
        <v>100</v>
      </c>
      <c r="O12" s="29">
        <f>K12-J12</f>
        <v>3.0876630104983036</v>
      </c>
      <c r="P12" s="29">
        <f t="shared" si="2"/>
        <v>103.0876630104983</v>
      </c>
      <c r="Q12" s="29">
        <f>L12-J12</f>
        <v>2.7925914090174047</v>
      </c>
      <c r="R12" s="29">
        <f t="shared" si="0"/>
        <v>102.7925914090174</v>
      </c>
      <c r="S12" s="29">
        <f>M12-J12</f>
        <v>10.932287079578686</v>
      </c>
      <c r="T12" s="29">
        <f t="shared" si="1"/>
        <v>110.93228707957869</v>
      </c>
    </row>
    <row r="13" spans="1:20" x14ac:dyDescent="0.25">
      <c r="A13" s="7" t="s">
        <v>15</v>
      </c>
      <c r="B13" s="26">
        <v>90.899865998296761</v>
      </c>
      <c r="C13" s="26">
        <v>93.794392187616481</v>
      </c>
      <c r="D13" s="26">
        <v>95.351562488194702</v>
      </c>
      <c r="E13" s="27">
        <v>100</v>
      </c>
      <c r="F13" s="27"/>
      <c r="G13" s="27"/>
      <c r="H13" s="27"/>
      <c r="I13" s="7" t="s">
        <v>50</v>
      </c>
      <c r="J13" s="26">
        <v>89.708524831267525</v>
      </c>
      <c r="K13" s="26">
        <v>82.24115352027205</v>
      </c>
      <c r="L13" s="26">
        <v>89.118731019469763</v>
      </c>
      <c r="M13" s="27">
        <v>100</v>
      </c>
      <c r="O13" s="29">
        <f>K13-J13</f>
        <v>-7.4673713109954747</v>
      </c>
      <c r="P13" s="29">
        <f t="shared" si="2"/>
        <v>92.532628689004525</v>
      </c>
      <c r="Q13" s="29">
        <f>L13-J13</f>
        <v>-0.58979381179776169</v>
      </c>
      <c r="R13" s="29">
        <f t="shared" si="0"/>
        <v>99.410206188202238</v>
      </c>
      <c r="S13" s="29">
        <f>M13-J13</f>
        <v>10.291475168732475</v>
      </c>
      <c r="T13" s="29">
        <f t="shared" si="1"/>
        <v>110.29147516873248</v>
      </c>
    </row>
    <row r="14" spans="1:20" x14ac:dyDescent="0.25">
      <c r="A14" s="7" t="s">
        <v>56</v>
      </c>
      <c r="B14" s="26">
        <v>88.716448575775345</v>
      </c>
      <c r="C14" s="26">
        <v>95.290313194001669</v>
      </c>
      <c r="D14" s="26">
        <v>92.404508098832821</v>
      </c>
      <c r="E14" s="27">
        <v>100</v>
      </c>
      <c r="F14" s="27"/>
      <c r="G14" s="27"/>
      <c r="H14" s="27"/>
      <c r="I14" s="7" t="s">
        <v>7</v>
      </c>
      <c r="J14" s="26">
        <v>89.795380601581812</v>
      </c>
      <c r="K14" s="28">
        <v>83.493019990429829</v>
      </c>
      <c r="L14" s="26">
        <v>89.73268060101411</v>
      </c>
      <c r="M14" s="27">
        <v>100</v>
      </c>
      <c r="O14" s="29">
        <f>K14-J14</f>
        <v>-6.3023606111519825</v>
      </c>
      <c r="P14" s="29">
        <f t="shared" si="2"/>
        <v>93.697639388848017</v>
      </c>
      <c r="Q14" s="29">
        <f>L14-J14</f>
        <v>-6.2700000567701863E-2</v>
      </c>
      <c r="R14" s="29">
        <f t="shared" si="0"/>
        <v>99.937299999432298</v>
      </c>
      <c r="S14" s="29">
        <f>M14-J14</f>
        <v>10.204619398418188</v>
      </c>
      <c r="T14" s="29">
        <f t="shared" si="1"/>
        <v>110.20461939841819</v>
      </c>
    </row>
    <row r="15" spans="1:20" x14ac:dyDescent="0.25">
      <c r="A15" s="7" t="s">
        <v>26</v>
      </c>
      <c r="B15" s="26">
        <v>89.368368155989543</v>
      </c>
      <c r="C15" s="26">
        <v>89.148746923846772</v>
      </c>
      <c r="D15" s="26">
        <v>91.723887164472728</v>
      </c>
      <c r="E15" s="27">
        <v>100</v>
      </c>
      <c r="F15" s="27"/>
      <c r="G15" s="27"/>
      <c r="H15" s="27"/>
      <c r="I15" s="7" t="s">
        <v>24</v>
      </c>
      <c r="J15" s="26">
        <v>89.133885267352952</v>
      </c>
      <c r="K15" s="26">
        <v>92.723874829875868</v>
      </c>
      <c r="L15" s="26">
        <v>92.356928235412113</v>
      </c>
      <c r="M15" s="27">
        <v>100</v>
      </c>
      <c r="O15" s="29">
        <f>K15-J15</f>
        <v>3.5899895625229163</v>
      </c>
      <c r="P15" s="29">
        <f t="shared" si="2"/>
        <v>103.58998956252292</v>
      </c>
      <c r="Q15" s="29">
        <f>L15-J15</f>
        <v>3.2230429680591612</v>
      </c>
      <c r="R15" s="29">
        <f t="shared" si="0"/>
        <v>103.22304296805916</v>
      </c>
      <c r="S15" s="29">
        <f>M15-J15</f>
        <v>10.866114732647048</v>
      </c>
      <c r="T15" s="29">
        <f t="shared" si="1"/>
        <v>110.86611473264705</v>
      </c>
    </row>
    <row r="16" spans="1:20" x14ac:dyDescent="0.25">
      <c r="A16" s="7" t="s">
        <v>31</v>
      </c>
      <c r="B16" s="26">
        <v>89.473756986215776</v>
      </c>
      <c r="C16" s="26">
        <v>89.619274395245625</v>
      </c>
      <c r="D16" s="26">
        <v>91.841735265016723</v>
      </c>
      <c r="E16" s="27">
        <v>100</v>
      </c>
      <c r="F16" s="27"/>
      <c r="G16" s="27"/>
      <c r="H16" s="27"/>
      <c r="I16" s="7" t="s">
        <v>46</v>
      </c>
      <c r="J16" s="28">
        <v>89.733059736859786</v>
      </c>
      <c r="K16" s="26">
        <v>87.274871032246239</v>
      </c>
      <c r="L16" s="26">
        <v>91.150106014967321</v>
      </c>
      <c r="M16" s="27">
        <v>100</v>
      </c>
      <c r="O16" s="29">
        <f>K16-J16</f>
        <v>-2.4581887046135478</v>
      </c>
      <c r="P16" s="29">
        <f t="shared" si="2"/>
        <v>97.541811295386452</v>
      </c>
      <c r="Q16" s="29">
        <f>L16-J16</f>
        <v>1.4170462781075344</v>
      </c>
      <c r="R16" s="29">
        <f t="shared" si="0"/>
        <v>101.41704627810753</v>
      </c>
      <c r="S16" s="29">
        <f>M16-J16</f>
        <v>10.266940263140214</v>
      </c>
      <c r="T16" s="29">
        <f t="shared" si="1"/>
        <v>110.26694026314021</v>
      </c>
    </row>
    <row r="17" spans="1:20" x14ac:dyDescent="0.25">
      <c r="A17" s="7" t="s">
        <v>64</v>
      </c>
      <c r="B17" s="26">
        <v>60.302135918641021</v>
      </c>
      <c r="C17" s="28">
        <v>62.035079108236616</v>
      </c>
      <c r="D17" s="28">
        <v>95.365007398820438</v>
      </c>
      <c r="E17" s="27">
        <v>100</v>
      </c>
      <c r="F17" s="27"/>
      <c r="G17" s="27"/>
      <c r="H17" s="27"/>
      <c r="I17" s="7" t="s">
        <v>44</v>
      </c>
      <c r="J17" s="26">
        <v>89.749613751398371</v>
      </c>
      <c r="K17" s="26">
        <v>83.531737306296009</v>
      </c>
      <c r="L17" s="26">
        <v>89.701840953334909</v>
      </c>
      <c r="M17" s="27">
        <v>100</v>
      </c>
      <c r="O17" s="29">
        <f>K17-J17</f>
        <v>-6.2178764451023625</v>
      </c>
      <c r="P17" s="29">
        <f t="shared" si="2"/>
        <v>93.782123554897638</v>
      </c>
      <c r="Q17" s="29">
        <f>L17-J17</f>
        <v>-4.7772798063462574E-2</v>
      </c>
      <c r="R17" s="29">
        <f t="shared" si="0"/>
        <v>99.952227201936537</v>
      </c>
      <c r="S17" s="29">
        <f>M17-J17</f>
        <v>10.250386248601629</v>
      </c>
      <c r="T17" s="29">
        <f t="shared" si="1"/>
        <v>110.25038624860163</v>
      </c>
    </row>
    <row r="18" spans="1:20" x14ac:dyDescent="0.25">
      <c r="A18" s="7" t="s">
        <v>6</v>
      </c>
      <c r="B18" s="26">
        <v>88.907546226086112</v>
      </c>
      <c r="C18" s="26">
        <v>92.348308190843781</v>
      </c>
      <c r="D18" s="26">
        <v>91.93120458600248</v>
      </c>
      <c r="E18" s="27">
        <v>100</v>
      </c>
      <c r="F18" s="27"/>
      <c r="G18" s="27"/>
      <c r="H18" s="27"/>
      <c r="I18" s="7" t="s">
        <v>32</v>
      </c>
      <c r="J18" s="26">
        <v>88.294893487936989</v>
      </c>
      <c r="K18" s="27">
        <v>100</v>
      </c>
      <c r="L18" s="26">
        <v>93.910438598031192</v>
      </c>
      <c r="M18" s="26">
        <v>94.698897453337054</v>
      </c>
      <c r="O18" s="29">
        <f>K18-J18</f>
        <v>11.705106512063011</v>
      </c>
      <c r="P18" s="29">
        <f t="shared" si="2"/>
        <v>111.70510651206301</v>
      </c>
      <c r="Q18" s="29">
        <f>L18-J18</f>
        <v>5.6155451100942031</v>
      </c>
      <c r="R18" s="29">
        <f t="shared" si="0"/>
        <v>105.6155451100942</v>
      </c>
      <c r="S18" s="29">
        <f>M18-J18</f>
        <v>6.4040039654000651</v>
      </c>
      <c r="T18" s="29">
        <f t="shared" si="1"/>
        <v>106.40400396540007</v>
      </c>
    </row>
    <row r="19" spans="1:20" x14ac:dyDescent="0.25">
      <c r="A19" s="7" t="s">
        <v>14</v>
      </c>
      <c r="B19" s="26">
        <v>89.067712920421314</v>
      </c>
      <c r="C19" s="26">
        <v>92.155375930919618</v>
      </c>
      <c r="D19" s="26">
        <v>91.860304329438719</v>
      </c>
      <c r="E19" s="27">
        <v>100</v>
      </c>
      <c r="F19" s="27"/>
      <c r="G19" s="27"/>
      <c r="H19" s="27"/>
      <c r="I19" s="7" t="s">
        <v>53</v>
      </c>
      <c r="J19" s="26">
        <v>89.311697419319742</v>
      </c>
      <c r="K19" s="26">
        <v>85.698702612607462</v>
      </c>
      <c r="L19" s="26">
        <v>90.39565220267346</v>
      </c>
      <c r="M19" s="27">
        <v>100</v>
      </c>
      <c r="O19" s="29">
        <f>K19-J19</f>
        <v>-3.6129948067122797</v>
      </c>
      <c r="P19" s="29">
        <f t="shared" si="2"/>
        <v>96.38700519328772</v>
      </c>
      <c r="Q19" s="29">
        <f>L19-J19</f>
        <v>1.0839547833537182</v>
      </c>
      <c r="R19" s="29">
        <f t="shared" si="0"/>
        <v>101.08395478335372</v>
      </c>
      <c r="S19" s="29">
        <f>M19-J19</f>
        <v>10.688302580680258</v>
      </c>
      <c r="T19" s="29">
        <f t="shared" si="1"/>
        <v>110.68830258068026</v>
      </c>
    </row>
    <row r="20" spans="1:20" x14ac:dyDescent="0.25">
      <c r="A20" s="7" t="s">
        <v>50</v>
      </c>
      <c r="B20" s="26">
        <v>89.708524831267525</v>
      </c>
      <c r="C20" s="26">
        <v>82.24115352027205</v>
      </c>
      <c r="D20" s="26">
        <v>89.118731019469763</v>
      </c>
      <c r="E20" s="27">
        <v>100</v>
      </c>
      <c r="F20" s="27"/>
      <c r="G20" s="27"/>
      <c r="H20" s="27"/>
      <c r="I20" s="7"/>
      <c r="J20" s="28"/>
      <c r="K20" s="26"/>
      <c r="L20" s="28"/>
      <c r="M20" s="27"/>
      <c r="P20" s="7"/>
      <c r="R20" s="7"/>
    </row>
    <row r="21" spans="1:20" x14ac:dyDescent="0.25">
      <c r="A21" s="7" t="s">
        <v>7</v>
      </c>
      <c r="B21" s="26">
        <v>89.795380601581812</v>
      </c>
      <c r="C21" s="28">
        <v>83.493019990429829</v>
      </c>
      <c r="D21" s="26">
        <v>89.73268060101411</v>
      </c>
      <c r="E21" s="27">
        <v>100</v>
      </c>
      <c r="F21" s="27"/>
      <c r="G21" s="27"/>
      <c r="H21" s="27"/>
      <c r="I21" s="7"/>
      <c r="J21" s="26"/>
      <c r="K21" s="26"/>
      <c r="L21" s="26"/>
      <c r="M21" s="27"/>
      <c r="P21" s="7"/>
      <c r="R21" s="7"/>
    </row>
    <row r="22" spans="1:20" x14ac:dyDescent="0.25">
      <c r="A22" s="7" t="s">
        <v>24</v>
      </c>
      <c r="B22" s="26">
        <v>89.133885267352952</v>
      </c>
      <c r="C22" s="26">
        <v>92.723874829875868</v>
      </c>
      <c r="D22" s="26">
        <v>92.356928235412113</v>
      </c>
      <c r="E22" s="27">
        <v>100</v>
      </c>
      <c r="F22" s="27"/>
      <c r="G22" s="27"/>
      <c r="H22" s="27"/>
      <c r="I22" s="7"/>
      <c r="J22" s="26"/>
      <c r="K22" s="26"/>
      <c r="L22" s="26"/>
      <c r="M22" s="27"/>
      <c r="P22" s="7"/>
      <c r="R22" s="7"/>
    </row>
    <row r="23" spans="1:20" x14ac:dyDescent="0.25">
      <c r="A23" s="7" t="s">
        <v>46</v>
      </c>
      <c r="B23" s="28">
        <v>89.733059736859786</v>
      </c>
      <c r="C23" s="26">
        <v>87.274871032246239</v>
      </c>
      <c r="D23" s="26">
        <v>91.150106014967321</v>
      </c>
      <c r="E23" s="27">
        <v>100</v>
      </c>
      <c r="F23" s="27"/>
      <c r="G23" s="27"/>
      <c r="H23" s="27"/>
      <c r="I23" s="7"/>
      <c r="J23" s="26"/>
      <c r="K23" s="26"/>
      <c r="L23" s="26"/>
      <c r="M23" s="27"/>
      <c r="P23" s="7"/>
      <c r="R23" s="7"/>
    </row>
    <row r="24" spans="1:20" x14ac:dyDescent="0.25">
      <c r="A24" s="7" t="s">
        <v>44</v>
      </c>
      <c r="B24" s="26">
        <v>89.749613751398371</v>
      </c>
      <c r="C24" s="26">
        <v>83.531737306296009</v>
      </c>
      <c r="D24" s="26">
        <v>89.701840953334909</v>
      </c>
      <c r="E24" s="27">
        <v>100</v>
      </c>
      <c r="F24" s="27"/>
      <c r="G24" s="27"/>
      <c r="H24" s="27"/>
      <c r="I24" s="7"/>
      <c r="J24" s="26"/>
      <c r="K24" s="26"/>
      <c r="L24" s="26"/>
      <c r="M24" s="27"/>
      <c r="P24" s="7"/>
      <c r="R24" s="7"/>
    </row>
    <row r="25" spans="1:20" x14ac:dyDescent="0.25">
      <c r="A25" s="7" t="s">
        <v>32</v>
      </c>
      <c r="B25" s="26">
        <v>88.294893487936989</v>
      </c>
      <c r="C25" s="27">
        <v>100</v>
      </c>
      <c r="D25" s="26">
        <v>93.910438598031192</v>
      </c>
      <c r="E25" s="26">
        <v>94.698897453337054</v>
      </c>
      <c r="F25" s="26"/>
      <c r="G25" s="26"/>
      <c r="H25" s="26"/>
      <c r="I25" s="7"/>
      <c r="J25" s="26"/>
      <c r="K25" s="26"/>
      <c r="L25" s="26"/>
      <c r="M25" s="27"/>
      <c r="P25" s="7"/>
      <c r="R25" s="7"/>
    </row>
    <row r="26" spans="1:20" x14ac:dyDescent="0.25">
      <c r="A26" s="7" t="s">
        <v>53</v>
      </c>
      <c r="B26" s="26">
        <v>89.311697419319742</v>
      </c>
      <c r="C26" s="26">
        <v>85.698702612607462</v>
      </c>
      <c r="D26" s="26">
        <v>90.39565220267346</v>
      </c>
      <c r="E26" s="27">
        <v>100</v>
      </c>
      <c r="F26" s="27"/>
      <c r="G26" s="27"/>
      <c r="H26" s="27"/>
      <c r="I26" s="7"/>
      <c r="J26" s="26"/>
      <c r="K26" s="26"/>
      <c r="L26" s="26"/>
      <c r="M26" s="27"/>
      <c r="P26" s="7"/>
      <c r="R26" s="7"/>
    </row>
    <row r="27" spans="1:20" ht="14.4" x14ac:dyDescent="0.3">
      <c r="I27" s="11"/>
      <c r="J27" s="8"/>
      <c r="K27" s="11" t="s">
        <v>148</v>
      </c>
      <c r="L27" s="10" t="s">
        <v>166</v>
      </c>
      <c r="M27" s="10" t="s">
        <v>167</v>
      </c>
      <c r="N27" s="10" t="s">
        <v>168</v>
      </c>
      <c r="O27" s="8"/>
      <c r="P27" s="8"/>
      <c r="Q27" s="8"/>
      <c r="R27" s="8"/>
      <c r="S27" s="8"/>
    </row>
    <row r="28" spans="1:20" ht="14.4" x14ac:dyDescent="0.3">
      <c r="I28" s="12"/>
      <c r="J28" s="8"/>
      <c r="K28" s="10" t="s">
        <v>18</v>
      </c>
      <c r="L28" s="15">
        <v>97.122113063146642</v>
      </c>
      <c r="M28" s="15">
        <v>101.37347559001761</v>
      </c>
      <c r="N28" s="15">
        <v>110.75287519415859</v>
      </c>
      <c r="O28" s="8"/>
      <c r="P28" s="8"/>
      <c r="Q28" s="8"/>
      <c r="R28" s="8"/>
      <c r="S28" s="8"/>
    </row>
    <row r="29" spans="1:20" ht="14.4" x14ac:dyDescent="0.3">
      <c r="I29" s="12"/>
      <c r="J29" s="8"/>
      <c r="K29" s="10" t="s">
        <v>66</v>
      </c>
      <c r="L29" s="15">
        <v>94.387369899096129</v>
      </c>
      <c r="M29" s="15">
        <v>100.04995482428285</v>
      </c>
      <c r="N29" s="15">
        <v>109.98056465112192</v>
      </c>
      <c r="O29" s="8"/>
      <c r="P29" s="8"/>
      <c r="Q29" s="8"/>
      <c r="R29" s="8"/>
      <c r="S29" s="8"/>
    </row>
    <row r="30" spans="1:20" ht="14.4" x14ac:dyDescent="0.3">
      <c r="I30" s="12"/>
      <c r="J30" s="8"/>
      <c r="K30" s="10" t="s">
        <v>47</v>
      </c>
      <c r="L30" s="15">
        <v>98.110046867977843</v>
      </c>
      <c r="M30" s="15">
        <v>101.55283348566429</v>
      </c>
      <c r="N30" s="15">
        <v>110.44357419071861</v>
      </c>
      <c r="O30" s="8"/>
      <c r="P30" s="8"/>
      <c r="Q30" s="8"/>
      <c r="R30" s="8"/>
      <c r="S30" s="8"/>
    </row>
    <row r="31" spans="1:20" ht="14.4" x14ac:dyDescent="0.3">
      <c r="I31" s="12"/>
      <c r="J31" s="8"/>
      <c r="K31" s="10" t="s">
        <v>45</v>
      </c>
      <c r="L31" s="15">
        <v>100.0337832434266</v>
      </c>
      <c r="M31" s="15">
        <v>101.69259019025341</v>
      </c>
      <c r="N31" s="15">
        <v>110.9542848770449</v>
      </c>
      <c r="O31" s="8"/>
      <c r="P31" s="8"/>
      <c r="Q31" s="8"/>
      <c r="R31" s="8"/>
      <c r="S31" s="8"/>
    </row>
    <row r="32" spans="1:20" ht="14.4" x14ac:dyDescent="0.3">
      <c r="I32" s="12"/>
      <c r="J32" s="8"/>
      <c r="K32" s="10" t="s">
        <v>15</v>
      </c>
      <c r="L32" s="15">
        <v>102.89452618931972</v>
      </c>
      <c r="M32" s="15">
        <v>104.45169648989794</v>
      </c>
      <c r="N32" s="15">
        <v>109.10013400170324</v>
      </c>
      <c r="O32" s="8"/>
      <c r="P32" s="8"/>
      <c r="Q32" s="8"/>
      <c r="R32" s="8"/>
      <c r="S32" s="8"/>
    </row>
    <row r="33" spans="1:19" ht="14.4" x14ac:dyDescent="0.3">
      <c r="I33" s="12"/>
      <c r="J33" s="8"/>
      <c r="K33" s="10" t="s">
        <v>56</v>
      </c>
      <c r="L33" s="15">
        <v>106.57386461822632</v>
      </c>
      <c r="M33" s="15">
        <v>103.68805952305748</v>
      </c>
      <c r="N33" s="15">
        <v>111.28355142422465</v>
      </c>
      <c r="O33" s="8"/>
      <c r="P33" s="8"/>
      <c r="Q33" s="8"/>
      <c r="R33" s="8"/>
      <c r="S33" s="8"/>
    </row>
    <row r="34" spans="1:19" ht="14.4" x14ac:dyDescent="0.3">
      <c r="I34" s="12"/>
      <c r="J34" s="8"/>
      <c r="K34" s="10" t="s">
        <v>26</v>
      </c>
      <c r="L34" s="15">
        <v>99.780378767857229</v>
      </c>
      <c r="M34" s="15">
        <v>102.35551900848318</v>
      </c>
      <c r="N34" s="15">
        <v>110.63163184401046</v>
      </c>
      <c r="O34" s="8"/>
      <c r="P34" s="8"/>
      <c r="Q34" s="8"/>
      <c r="R34" s="8"/>
      <c r="S34" s="8"/>
    </row>
    <row r="35" spans="1:19" ht="14.4" x14ac:dyDescent="0.3">
      <c r="I35" s="12"/>
      <c r="J35" s="8"/>
      <c r="K35" s="10" t="s">
        <v>31</v>
      </c>
      <c r="L35" s="15">
        <v>100.14551740902985</v>
      </c>
      <c r="M35" s="15">
        <v>102.36797827880095</v>
      </c>
      <c r="N35" s="15">
        <v>110.52624301378422</v>
      </c>
      <c r="O35" s="8"/>
      <c r="P35" s="8"/>
      <c r="Q35" s="8"/>
      <c r="R35" s="8"/>
      <c r="S35" s="8"/>
    </row>
    <row r="36" spans="1:19" ht="14.4" x14ac:dyDescent="0.3">
      <c r="I36" s="12"/>
      <c r="J36" s="8"/>
      <c r="K36" s="10" t="s">
        <v>64</v>
      </c>
      <c r="L36" s="15">
        <v>101.7329431895956</v>
      </c>
      <c r="M36" s="15">
        <v>135.06287148017941</v>
      </c>
      <c r="N36" s="15">
        <v>139.69786408135897</v>
      </c>
      <c r="O36" s="8"/>
      <c r="P36" s="8"/>
      <c r="Q36" s="8"/>
      <c r="R36" s="8"/>
      <c r="S36" s="8"/>
    </row>
    <row r="37" spans="1:19" ht="14.4" x14ac:dyDescent="0.3">
      <c r="I37" s="12"/>
      <c r="J37" s="8"/>
      <c r="K37" s="10" t="s">
        <v>6</v>
      </c>
      <c r="L37" s="15">
        <v>103.44076196475767</v>
      </c>
      <c r="M37" s="15">
        <v>103.02365835991637</v>
      </c>
      <c r="N37" s="15">
        <v>111.09245377391389</v>
      </c>
      <c r="O37" s="8"/>
      <c r="P37" s="8"/>
      <c r="Q37" s="8"/>
      <c r="R37" s="8"/>
      <c r="S37" s="8"/>
    </row>
    <row r="38" spans="1:19" ht="14.4" x14ac:dyDescent="0.3">
      <c r="I38" s="14"/>
      <c r="J38" s="8"/>
      <c r="K38" s="10" t="s">
        <v>14</v>
      </c>
      <c r="L38" s="15">
        <v>103.0876630104983</v>
      </c>
      <c r="M38" s="15">
        <v>102.7925914090174</v>
      </c>
      <c r="N38" s="15">
        <v>110.93228707957869</v>
      </c>
      <c r="O38" s="8"/>
      <c r="P38" s="8"/>
      <c r="Q38" s="8"/>
      <c r="R38" s="8"/>
      <c r="S38" s="8"/>
    </row>
    <row r="39" spans="1:19" ht="14.4" x14ac:dyDescent="0.3">
      <c r="I39" s="12"/>
      <c r="J39" s="8"/>
      <c r="K39" s="10" t="s">
        <v>50</v>
      </c>
      <c r="L39" s="15">
        <v>92.532628689004525</v>
      </c>
      <c r="M39" s="15">
        <v>99.410206188202238</v>
      </c>
      <c r="N39" s="15">
        <v>110.29147516873248</v>
      </c>
      <c r="O39" s="8"/>
      <c r="P39" s="8"/>
      <c r="Q39" s="8"/>
      <c r="R39" s="8"/>
      <c r="S39" s="8"/>
    </row>
    <row r="40" spans="1:19" ht="14.4" x14ac:dyDescent="0.3">
      <c r="I40" s="12"/>
      <c r="J40" s="8"/>
      <c r="K40" s="10" t="s">
        <v>7</v>
      </c>
      <c r="L40" s="15">
        <v>93.697639388848017</v>
      </c>
      <c r="M40" s="15">
        <v>99.937299999432298</v>
      </c>
      <c r="N40" s="15">
        <v>110.20461939841819</v>
      </c>
      <c r="O40" s="8"/>
      <c r="P40" s="8"/>
      <c r="Q40" s="8"/>
      <c r="R40" s="8"/>
      <c r="S40" s="8"/>
    </row>
    <row r="41" spans="1:19" ht="14.4" x14ac:dyDescent="0.3">
      <c r="I41" s="12"/>
      <c r="J41" s="8"/>
      <c r="K41" s="10" t="s">
        <v>24</v>
      </c>
      <c r="L41" s="15">
        <v>103.58998956252292</v>
      </c>
      <c r="M41" s="15">
        <v>103.22304296805916</v>
      </c>
      <c r="N41" s="15">
        <v>110.86611473264705</v>
      </c>
      <c r="O41" s="8"/>
      <c r="P41" s="8"/>
      <c r="Q41" s="8"/>
      <c r="R41" s="8"/>
      <c r="S41" s="8"/>
    </row>
    <row r="42" spans="1:19" ht="14.4" x14ac:dyDescent="0.3">
      <c r="I42" s="12"/>
      <c r="J42" s="8"/>
      <c r="K42" s="10" t="s">
        <v>46</v>
      </c>
      <c r="L42" s="15">
        <v>97.541811295386452</v>
      </c>
      <c r="M42" s="15">
        <v>101.41704627810753</v>
      </c>
      <c r="N42" s="15">
        <v>110.26694026314021</v>
      </c>
      <c r="O42" s="8"/>
      <c r="P42" s="8"/>
      <c r="Q42" s="8"/>
      <c r="R42" s="8"/>
      <c r="S42" s="8"/>
    </row>
    <row r="43" spans="1:19" ht="14.4" x14ac:dyDescent="0.3">
      <c r="I43" s="12"/>
      <c r="J43" s="8"/>
      <c r="K43" s="10" t="s">
        <v>44</v>
      </c>
      <c r="L43" s="15">
        <v>93.782123554897638</v>
      </c>
      <c r="M43" s="15">
        <v>99.952227201936537</v>
      </c>
      <c r="N43" s="15">
        <v>110.25038624860163</v>
      </c>
      <c r="O43" s="8"/>
      <c r="P43" s="8"/>
      <c r="Q43" s="8"/>
      <c r="R43" s="8"/>
      <c r="S43" s="8"/>
    </row>
    <row r="44" spans="1:19" ht="14.4" x14ac:dyDescent="0.3">
      <c r="I44" s="14"/>
      <c r="J44" s="8"/>
      <c r="K44" s="10" t="s">
        <v>32</v>
      </c>
      <c r="L44" s="15">
        <v>111.70510651206301</v>
      </c>
      <c r="M44" s="15">
        <v>105.6155451100942</v>
      </c>
      <c r="N44" s="15">
        <v>106.40400396540007</v>
      </c>
      <c r="O44" s="8"/>
      <c r="P44" s="8"/>
      <c r="Q44" s="8"/>
      <c r="R44" s="8"/>
      <c r="S44" s="8"/>
    </row>
    <row r="45" spans="1:19" ht="14.4" x14ac:dyDescent="0.3">
      <c r="I45" s="12"/>
      <c r="J45" s="8"/>
      <c r="K45" s="10" t="s">
        <v>53</v>
      </c>
      <c r="L45" s="15">
        <v>96.38700519328772</v>
      </c>
      <c r="M45" s="15">
        <v>101.08395478335372</v>
      </c>
      <c r="N45" s="15">
        <v>110.68830258068026</v>
      </c>
      <c r="O45" s="8"/>
      <c r="P45" s="8"/>
      <c r="Q45" s="8"/>
      <c r="R45" s="8"/>
      <c r="S45" s="8"/>
    </row>
    <row r="46" spans="1:19" x14ac:dyDescent="0.25">
      <c r="A46" s="8"/>
      <c r="B46" s="8"/>
      <c r="C46" s="8"/>
      <c r="D46" s="8"/>
    </row>
    <row r="47" spans="1:19" x14ac:dyDescent="0.25">
      <c r="A47" s="8"/>
      <c r="B47" s="8"/>
      <c r="C47" s="8"/>
      <c r="D47" s="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H8" sqref="H8"/>
    </sheetView>
  </sheetViews>
  <sheetFormatPr defaultColWidth="20.77734375" defaultRowHeight="14.4" x14ac:dyDescent="0.3"/>
  <cols>
    <col min="1" max="1" width="40.77734375" style="30" customWidth="1"/>
    <col min="2" max="16384" width="20.77734375" style="30"/>
  </cols>
  <sheetData>
    <row r="1" spans="1:5" x14ac:dyDescent="0.3">
      <c r="A1" s="30" t="s">
        <v>258</v>
      </c>
    </row>
    <row r="2" spans="1:5" x14ac:dyDescent="0.3">
      <c r="A2" s="30" t="s">
        <v>264</v>
      </c>
    </row>
    <row r="3" spans="1:5" x14ac:dyDescent="0.3">
      <c r="A3" s="30" t="s">
        <v>259</v>
      </c>
    </row>
    <row r="4" spans="1:5" x14ac:dyDescent="0.3">
      <c r="A4" s="30" t="s">
        <v>170</v>
      </c>
    </row>
    <row r="5" spans="1:5" x14ac:dyDescent="0.3">
      <c r="A5" s="30" t="s">
        <v>171</v>
      </c>
    </row>
    <row r="7" spans="1:5" s="34" customFormat="1" x14ac:dyDescent="0.3"/>
    <row r="8" spans="1:5" s="34" customFormat="1" x14ac:dyDescent="0.3">
      <c r="A8" s="34" t="s">
        <v>148</v>
      </c>
      <c r="B8" s="34" t="s">
        <v>260</v>
      </c>
      <c r="C8" s="34" t="s">
        <v>261</v>
      </c>
      <c r="D8" s="34" t="s">
        <v>262</v>
      </c>
      <c r="E8" s="34" t="s">
        <v>263</v>
      </c>
    </row>
    <row r="9" spans="1:5" x14ac:dyDescent="0.3">
      <c r="A9" s="30" t="s">
        <v>18</v>
      </c>
      <c r="B9" s="31">
        <v>1.5325284806876529E-2</v>
      </c>
      <c r="C9" s="31">
        <v>1.4831101525956016E-2</v>
      </c>
      <c r="D9" s="31">
        <v>1.5561134473049087E-2</v>
      </c>
      <c r="E9" s="31">
        <v>1.717174064735073E-2</v>
      </c>
    </row>
    <row r="10" spans="1:5" x14ac:dyDescent="0.3">
      <c r="A10" s="30" t="s">
        <v>66</v>
      </c>
      <c r="B10" s="31">
        <v>9.2264201799786491E-4</v>
      </c>
      <c r="C10" s="31">
        <v>8.6511612547805533E-4</v>
      </c>
      <c r="D10" s="31">
        <v>9.2315402320770153E-4</v>
      </c>
      <c r="E10" s="33">
        <v>1.0249364644669098E-3</v>
      </c>
    </row>
    <row r="11" spans="1:5" x14ac:dyDescent="0.3">
      <c r="A11" s="30" t="s">
        <v>47</v>
      </c>
      <c r="B11" s="31">
        <v>2.3838690072569269E-2</v>
      </c>
      <c r="C11" s="31">
        <v>2.3335610516202272E-2</v>
      </c>
      <c r="D11" s="31">
        <v>2.4252033010996731E-2</v>
      </c>
      <c r="E11" s="31">
        <v>2.6618626030627937E-2</v>
      </c>
    </row>
    <row r="12" spans="1:5" x14ac:dyDescent="0.3">
      <c r="A12" s="30" t="s">
        <v>45</v>
      </c>
      <c r="B12" s="33">
        <v>0.43702988826886802</v>
      </c>
      <c r="C12" s="31">
        <v>0.43719569396855607</v>
      </c>
      <c r="D12" s="31">
        <v>0.44533699772056967</v>
      </c>
      <c r="E12" s="31">
        <v>0.49079272109321992</v>
      </c>
    </row>
    <row r="13" spans="1:5" x14ac:dyDescent="0.3">
      <c r="A13" s="30" t="s">
        <v>15</v>
      </c>
      <c r="B13" s="31">
        <v>6.5379860007144111E-3</v>
      </c>
      <c r="C13" s="31">
        <v>6.7461752152598734E-3</v>
      </c>
      <c r="D13" s="31">
        <v>6.8581749142044238E-3</v>
      </c>
      <c r="E13" s="31">
        <v>7.1925144541323338E-3</v>
      </c>
    </row>
    <row r="14" spans="1:5" x14ac:dyDescent="0.3">
      <c r="A14" s="30" t="s">
        <v>56</v>
      </c>
      <c r="B14" s="31">
        <v>0.25827419181652705</v>
      </c>
      <c r="C14" s="31">
        <v>0.27741223891647793</v>
      </c>
      <c r="D14" s="33">
        <v>0.26901098987348715</v>
      </c>
      <c r="E14" s="31">
        <v>0.29112323133170276</v>
      </c>
    </row>
    <row r="15" spans="1:5" x14ac:dyDescent="0.3">
      <c r="A15" s="30" t="s">
        <v>26</v>
      </c>
      <c r="B15" s="31">
        <v>7.1611277396672196E-3</v>
      </c>
      <c r="C15" s="31">
        <v>7.1435293910549506E-3</v>
      </c>
      <c r="D15" s="31">
        <v>7.3498765426386987E-3</v>
      </c>
      <c r="E15" s="33">
        <v>8.0130452053993814E-3</v>
      </c>
    </row>
    <row r="16" spans="1:5" x14ac:dyDescent="0.3">
      <c r="A16" s="30" t="s">
        <v>31</v>
      </c>
      <c r="B16" s="31">
        <v>1.936435237527347E-2</v>
      </c>
      <c r="C16" s="31">
        <v>1.9395845971609441E-2</v>
      </c>
      <c r="D16" s="31">
        <v>1.9876841929218934E-2</v>
      </c>
      <c r="E16" s="31">
        <v>2.1642493874775664E-2</v>
      </c>
    </row>
    <row r="17" spans="1:5" x14ac:dyDescent="0.3">
      <c r="A17" s="30" t="s">
        <v>64</v>
      </c>
      <c r="B17" s="31">
        <v>1.7379902231399423E-3</v>
      </c>
      <c r="C17" s="31">
        <v>1.7879360214917239E-3</v>
      </c>
      <c r="D17" s="31">
        <v>2.7485502455905962E-3</v>
      </c>
      <c r="E17" s="31">
        <v>2.8821370862962808E-3</v>
      </c>
    </row>
    <row r="18" spans="1:5" x14ac:dyDescent="0.3">
      <c r="A18" s="30" t="s">
        <v>6</v>
      </c>
      <c r="B18" s="31">
        <v>0.41751889248307661</v>
      </c>
      <c r="C18" s="31">
        <v>0.43367706111783566</v>
      </c>
      <c r="D18" s="31">
        <v>0.43171830010669143</v>
      </c>
      <c r="E18" s="31">
        <v>0.46961018519322706</v>
      </c>
    </row>
    <row r="19" spans="1:5" x14ac:dyDescent="0.3">
      <c r="A19" s="30" t="s">
        <v>14</v>
      </c>
      <c r="B19" s="31">
        <v>0.49875819670263116</v>
      </c>
      <c r="C19" s="33">
        <v>0.51604838171633838</v>
      </c>
      <c r="D19" s="31">
        <v>0.51439605030434477</v>
      </c>
      <c r="E19" s="31">
        <v>0.55997642731463937</v>
      </c>
    </row>
    <row r="20" spans="1:5" x14ac:dyDescent="0.3">
      <c r="A20" s="30" t="s">
        <v>50</v>
      </c>
      <c r="B20" s="31">
        <v>1.2566466375599836E-2</v>
      </c>
      <c r="C20" s="31">
        <v>1.1520428993196734E-2</v>
      </c>
      <c r="D20" s="31">
        <v>1.2483847425857515E-2</v>
      </c>
      <c r="E20" s="33">
        <v>1.400810725539859E-2</v>
      </c>
    </row>
    <row r="21" spans="1:5" x14ac:dyDescent="0.3">
      <c r="A21" s="30" t="s">
        <v>7</v>
      </c>
      <c r="B21" s="31">
        <v>4.9351847895304059E-3</v>
      </c>
      <c r="C21" s="31">
        <v>4.5888048976259772E-3</v>
      </c>
      <c r="D21" s="31">
        <v>4.9317387760825877E-3</v>
      </c>
      <c r="E21" s="31">
        <v>5.4960341572887778E-3</v>
      </c>
    </row>
    <row r="22" spans="1:5" x14ac:dyDescent="0.3">
      <c r="A22" s="30" t="s">
        <v>24</v>
      </c>
      <c r="B22" s="31">
        <v>3.2804615948792883E-3</v>
      </c>
      <c r="C22" s="31">
        <v>3.4125866879406936E-3</v>
      </c>
      <c r="D22" s="31">
        <v>3.3990816757121906E-3</v>
      </c>
      <c r="E22" s="31">
        <v>3.680375409463752E-3</v>
      </c>
    </row>
    <row r="23" spans="1:5" x14ac:dyDescent="0.3">
      <c r="A23" s="30" t="s">
        <v>46</v>
      </c>
      <c r="B23" s="31">
        <v>0.12068695165111924</v>
      </c>
      <c r="C23" s="31">
        <v>0.11738079779641912</v>
      </c>
      <c r="D23" s="31">
        <v>0.12259281551171727</v>
      </c>
      <c r="E23" s="31">
        <v>0.13449552707221948</v>
      </c>
    </row>
    <row r="24" spans="1:5" x14ac:dyDescent="0.3">
      <c r="A24" s="30" t="s">
        <v>44</v>
      </c>
      <c r="B24" s="32">
        <v>0</v>
      </c>
      <c r="C24" s="32">
        <v>0</v>
      </c>
      <c r="D24" s="32">
        <v>0</v>
      </c>
      <c r="E24" s="32">
        <v>0</v>
      </c>
    </row>
    <row r="25" spans="1:5" x14ac:dyDescent="0.3">
      <c r="A25" s="30" t="s">
        <v>32</v>
      </c>
      <c r="B25" s="31">
        <v>2.464525304006349E-2</v>
      </c>
      <c r="C25" s="31">
        <v>2.7912433059824229E-2</v>
      </c>
      <c r="D25" s="31">
        <v>2.6212688309862751E-2</v>
      </c>
      <c r="E25" s="31">
        <v>2.6432766360054281E-2</v>
      </c>
    </row>
    <row r="26" spans="1:5" x14ac:dyDescent="0.3">
      <c r="A26" s="30" t="s">
        <v>53</v>
      </c>
      <c r="B26" s="31">
        <v>2.9172305997071001E-2</v>
      </c>
      <c r="C26" s="31">
        <v>2.7992176259166814E-2</v>
      </c>
      <c r="D26" s="31">
        <v>2.9526363321483111E-2</v>
      </c>
      <c r="E26" s="31">
        <v>3.2663477282383974E-2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Y37" sqref="Y37"/>
    </sheetView>
  </sheetViews>
  <sheetFormatPr defaultColWidth="20.77734375" defaultRowHeight="14.4" x14ac:dyDescent="0.3"/>
  <cols>
    <col min="1" max="1" width="40.77734375" style="10" customWidth="1"/>
    <col min="2" max="16384" width="20.77734375" style="10"/>
  </cols>
  <sheetData>
    <row r="1" spans="1:4" x14ac:dyDescent="0.3">
      <c r="A1" s="10" t="s">
        <v>135</v>
      </c>
    </row>
    <row r="2" spans="1:4" x14ac:dyDescent="0.3">
      <c r="A2" s="10" t="s">
        <v>239</v>
      </c>
    </row>
    <row r="3" spans="1:4" x14ac:dyDescent="0.3">
      <c r="A3" s="10" t="s">
        <v>240</v>
      </c>
    </row>
    <row r="4" spans="1:4" x14ac:dyDescent="0.3">
      <c r="A4" s="10" t="s">
        <v>241</v>
      </c>
    </row>
    <row r="5" spans="1:4" x14ac:dyDescent="0.3">
      <c r="A5" s="10" t="s">
        <v>144</v>
      </c>
    </row>
    <row r="7" spans="1:4" s="11" customFormat="1" x14ac:dyDescent="0.3"/>
    <row r="8" spans="1:4" s="11" customFormat="1" x14ac:dyDescent="0.3">
      <c r="A8" s="11" t="s">
        <v>148</v>
      </c>
      <c r="B8" s="11" t="s">
        <v>162</v>
      </c>
      <c r="C8" s="11" t="s">
        <v>242</v>
      </c>
      <c r="D8" s="11" t="s">
        <v>243</v>
      </c>
    </row>
    <row r="9" spans="1:4" x14ac:dyDescent="0.3">
      <c r="A9" s="10" t="s">
        <v>18</v>
      </c>
      <c r="B9" s="13">
        <v>100</v>
      </c>
      <c r="C9" s="12">
        <v>4.0403370139787071</v>
      </c>
      <c r="D9" s="12">
        <v>5.8714753122334074</v>
      </c>
    </row>
    <row r="10" spans="1:4" x14ac:dyDescent="0.3">
      <c r="A10" s="10" t="s">
        <v>66</v>
      </c>
      <c r="B10" s="13">
        <v>100</v>
      </c>
      <c r="C10" s="12">
        <v>21.224582514843782</v>
      </c>
      <c r="D10" s="12">
        <v>29.359723731239718</v>
      </c>
    </row>
    <row r="11" spans="1:4" x14ac:dyDescent="0.3">
      <c r="A11" s="10" t="s">
        <v>47</v>
      </c>
      <c r="B11" s="13">
        <v>100</v>
      </c>
      <c r="C11" s="14">
        <v>5.5340889010990253</v>
      </c>
      <c r="D11" s="12">
        <v>10.794719576665372</v>
      </c>
    </row>
    <row r="12" spans="1:4" x14ac:dyDescent="0.3">
      <c r="A12" s="10" t="s">
        <v>45</v>
      </c>
      <c r="B12" s="13">
        <v>100</v>
      </c>
      <c r="C12" s="12">
        <v>55.531884925800455</v>
      </c>
      <c r="D12" s="12">
        <v>212.57697701391436</v>
      </c>
    </row>
    <row r="13" spans="1:4" x14ac:dyDescent="0.3">
      <c r="A13" s="10" t="s">
        <v>15</v>
      </c>
      <c r="B13" s="13">
        <v>100</v>
      </c>
      <c r="C13" s="12">
        <v>16.034301124579457</v>
      </c>
      <c r="D13" s="12">
        <v>28.041948345249381</v>
      </c>
    </row>
    <row r="14" spans="1:4" x14ac:dyDescent="0.3">
      <c r="A14" s="10" t="s">
        <v>56</v>
      </c>
      <c r="B14" s="13">
        <v>100</v>
      </c>
      <c r="C14" s="12">
        <v>54.383104607661096</v>
      </c>
      <c r="D14" s="12">
        <v>310.04519547287663</v>
      </c>
    </row>
    <row r="15" spans="1:4" x14ac:dyDescent="0.3">
      <c r="A15" s="10" t="s">
        <v>26</v>
      </c>
      <c r="B15" s="13">
        <v>100</v>
      </c>
      <c r="C15" s="12">
        <v>8.7401708576537942</v>
      </c>
      <c r="D15" s="12">
        <v>13.765793511445111</v>
      </c>
    </row>
    <row r="16" spans="1:4" x14ac:dyDescent="0.3">
      <c r="A16" s="10" t="s">
        <v>31</v>
      </c>
      <c r="B16" s="13">
        <v>100</v>
      </c>
      <c r="C16" s="12">
        <v>6.6643444065560047</v>
      </c>
      <c r="D16" s="12">
        <v>9.0438168119551037</v>
      </c>
    </row>
    <row r="17" spans="1:4" x14ac:dyDescent="0.3">
      <c r="A17" s="10" t="s">
        <v>64</v>
      </c>
      <c r="B17" s="13">
        <v>100</v>
      </c>
      <c r="C17" s="12">
        <v>13.404599214487597</v>
      </c>
      <c r="D17" s="12">
        <v>21.506681270142302</v>
      </c>
    </row>
    <row r="18" spans="1:4" x14ac:dyDescent="0.3">
      <c r="A18" s="10" t="s">
        <v>6</v>
      </c>
      <c r="B18" s="13">
        <v>100</v>
      </c>
      <c r="C18" s="14">
        <v>35.872054899451257</v>
      </c>
      <c r="D18" s="14">
        <v>97.022061977784574</v>
      </c>
    </row>
    <row r="19" spans="1:4" x14ac:dyDescent="0.3">
      <c r="A19" s="10" t="s">
        <v>14</v>
      </c>
      <c r="B19" s="13">
        <v>100</v>
      </c>
      <c r="C19" s="12">
        <v>34.770873558423602</v>
      </c>
      <c r="D19" s="12">
        <v>93.428787305650246</v>
      </c>
    </row>
    <row r="20" spans="1:4" x14ac:dyDescent="0.3">
      <c r="A20" s="10" t="s">
        <v>50</v>
      </c>
      <c r="B20" s="13">
        <v>100</v>
      </c>
      <c r="C20" s="12">
        <v>51.565441728270116</v>
      </c>
      <c r="D20" s="12">
        <v>523.9614253213972</v>
      </c>
    </row>
    <row r="21" spans="1:4" x14ac:dyDescent="0.3">
      <c r="A21" s="10" t="s">
        <v>7</v>
      </c>
      <c r="B21" s="13">
        <v>100</v>
      </c>
      <c r="C21" s="12">
        <v>30.270116349956567</v>
      </c>
      <c r="D21" s="12">
        <v>52.448791809455798</v>
      </c>
    </row>
    <row r="22" spans="1:4" x14ac:dyDescent="0.3">
      <c r="A22" s="10" t="s">
        <v>24</v>
      </c>
      <c r="B22" s="13">
        <v>100</v>
      </c>
      <c r="C22" s="14">
        <v>23.708058098439977</v>
      </c>
      <c r="D22" s="12">
        <v>59.481155833820225</v>
      </c>
    </row>
    <row r="23" spans="1:4" x14ac:dyDescent="0.3">
      <c r="A23" s="10" t="s">
        <v>46</v>
      </c>
      <c r="B23" s="13">
        <v>100</v>
      </c>
      <c r="C23" s="12">
        <v>969.21145418896731</v>
      </c>
      <c r="D23" s="12">
        <v>1087.1959110946937</v>
      </c>
    </row>
    <row r="24" spans="1:4" x14ac:dyDescent="0.3">
      <c r="A24" s="10" t="s">
        <v>44</v>
      </c>
      <c r="B24" s="13">
        <v>100</v>
      </c>
      <c r="C24" s="12">
        <v>1863.5257154898277</v>
      </c>
      <c r="D24" s="12">
        <v>1304.6932445142711</v>
      </c>
    </row>
    <row r="25" spans="1:4" x14ac:dyDescent="0.3">
      <c r="A25" s="10" t="s">
        <v>32</v>
      </c>
      <c r="B25" s="13">
        <v>100</v>
      </c>
      <c r="C25" s="12">
        <v>17.735248075302536</v>
      </c>
      <c r="D25" s="12">
        <v>25.893342869882389</v>
      </c>
    </row>
    <row r="26" spans="1:4" x14ac:dyDescent="0.3">
      <c r="A26" s="10" t="s">
        <v>53</v>
      </c>
      <c r="B26" s="13">
        <v>100</v>
      </c>
      <c r="C26" s="12">
        <v>16.220624760577344</v>
      </c>
      <c r="D26" s="12">
        <v>25.606138827788435</v>
      </c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Y37" sqref="Y37"/>
    </sheetView>
  </sheetViews>
  <sheetFormatPr defaultColWidth="20.6640625" defaultRowHeight="14.4" x14ac:dyDescent="0.3"/>
  <cols>
    <col min="1" max="1" width="40.6640625" style="10" customWidth="1"/>
    <col min="2" max="16384" width="20.6640625" style="10"/>
  </cols>
  <sheetData>
    <row r="1" spans="1:5" x14ac:dyDescent="0.3">
      <c r="A1" s="10" t="s">
        <v>135</v>
      </c>
    </row>
    <row r="2" spans="1:5" x14ac:dyDescent="0.3">
      <c r="A2" s="10" t="s">
        <v>244</v>
      </c>
    </row>
    <row r="3" spans="1:5" x14ac:dyDescent="0.3">
      <c r="A3" s="10" t="s">
        <v>245</v>
      </c>
    </row>
    <row r="4" spans="1:5" x14ac:dyDescent="0.3">
      <c r="A4" s="10" t="s">
        <v>141</v>
      </c>
    </row>
    <row r="5" spans="1:5" x14ac:dyDescent="0.3">
      <c r="A5" s="10" t="s">
        <v>144</v>
      </c>
    </row>
    <row r="7" spans="1:5" s="11" customFormat="1" x14ac:dyDescent="0.3"/>
    <row r="8" spans="1:5" s="11" customFormat="1" x14ac:dyDescent="0.3">
      <c r="A8" s="11" t="s">
        <v>148</v>
      </c>
      <c r="B8" s="11" t="s">
        <v>246</v>
      </c>
      <c r="C8" s="11" t="s">
        <v>247</v>
      </c>
      <c r="D8" s="11" t="s">
        <v>93</v>
      </c>
      <c r="E8" s="11" t="s">
        <v>248</v>
      </c>
    </row>
    <row r="9" spans="1:5" x14ac:dyDescent="0.3">
      <c r="A9" s="10" t="s">
        <v>18</v>
      </c>
      <c r="B9" s="12">
        <v>6.8395413943575827</v>
      </c>
      <c r="C9" s="12">
        <v>92.856909673725781</v>
      </c>
      <c r="D9" s="12">
        <v>3.5377810542478294E-2</v>
      </c>
      <c r="E9" s="12">
        <v>0.2681711213741535</v>
      </c>
    </row>
    <row r="10" spans="1:5" x14ac:dyDescent="0.3">
      <c r="A10" s="10" t="s">
        <v>66</v>
      </c>
      <c r="B10" s="12">
        <v>5.6875056759279659</v>
      </c>
      <c r="C10" s="12">
        <v>94.254426603242024</v>
      </c>
      <c r="D10" s="12">
        <v>5.2486124003550669E-2</v>
      </c>
      <c r="E10" s="12">
        <v>5.5815968264810419E-3</v>
      </c>
    </row>
    <row r="11" spans="1:5" x14ac:dyDescent="0.3">
      <c r="A11" s="10" t="s">
        <v>47</v>
      </c>
      <c r="B11" s="12">
        <v>10.383864522684112</v>
      </c>
      <c r="C11" s="12">
        <v>89.52859277707293</v>
      </c>
      <c r="D11" s="12">
        <v>7.6939621491773913E-2</v>
      </c>
      <c r="E11" s="12">
        <v>1.060307875118916E-2</v>
      </c>
    </row>
    <row r="12" spans="1:5" x14ac:dyDescent="0.3">
      <c r="A12" s="10" t="s">
        <v>45</v>
      </c>
      <c r="B12" s="12">
        <v>17.464326531326254</v>
      </c>
      <c r="C12" s="12">
        <v>82.529412883569279</v>
      </c>
      <c r="D12" s="12">
        <v>3.4691780799538186E-3</v>
      </c>
      <c r="E12" s="12">
        <v>2.7914070245279947E-3</v>
      </c>
    </row>
    <row r="13" spans="1:5" x14ac:dyDescent="0.3">
      <c r="A13" s="10" t="s">
        <v>15</v>
      </c>
      <c r="B13" s="12">
        <v>24.82615852771648</v>
      </c>
      <c r="C13" s="14">
        <v>75.097070051405041</v>
      </c>
      <c r="D13" s="12">
        <v>3.2557391829842242E-2</v>
      </c>
      <c r="E13" s="12">
        <v>4.4214029048644923E-2</v>
      </c>
    </row>
    <row r="14" spans="1:5" x14ac:dyDescent="0.3">
      <c r="A14" s="10" t="s">
        <v>56</v>
      </c>
      <c r="B14" s="12">
        <v>33.673600871798257</v>
      </c>
      <c r="C14" s="14">
        <v>66.019012487877021</v>
      </c>
      <c r="D14" s="12">
        <v>8.2913668339045076E-3</v>
      </c>
      <c r="E14" s="14">
        <v>0.29909527349080867</v>
      </c>
    </row>
    <row r="15" spans="1:5" x14ac:dyDescent="0.3">
      <c r="A15" s="10" t="s">
        <v>26</v>
      </c>
      <c r="B15" s="12">
        <v>13.103606153080971</v>
      </c>
      <c r="C15" s="12">
        <v>86.722158938488363</v>
      </c>
      <c r="D15" s="12">
        <v>0.13983529645052958</v>
      </c>
      <c r="E15" s="12">
        <v>3.4399611980116311E-2</v>
      </c>
    </row>
    <row r="16" spans="1:5" x14ac:dyDescent="0.3">
      <c r="A16" s="10" t="s">
        <v>31</v>
      </c>
      <c r="B16" s="12">
        <v>14.061195041718957</v>
      </c>
      <c r="C16" s="12">
        <v>85.84411370528656</v>
      </c>
      <c r="D16" s="14">
        <v>8.2071063724112131E-2</v>
      </c>
      <c r="E16" s="12">
        <v>1.2620189270357959E-2</v>
      </c>
    </row>
    <row r="17" spans="1:5" x14ac:dyDescent="0.3">
      <c r="A17" s="10" t="s">
        <v>64</v>
      </c>
      <c r="B17" s="12">
        <v>18.260293784407736</v>
      </c>
      <c r="C17" s="12">
        <v>77.163806455802614</v>
      </c>
      <c r="D17" s="12">
        <v>0.1241642343772327</v>
      </c>
      <c r="E17" s="12">
        <v>4.451735525412432</v>
      </c>
    </row>
    <row r="18" spans="1:5" x14ac:dyDescent="0.3">
      <c r="A18" s="10" t="s">
        <v>6</v>
      </c>
      <c r="B18" s="12">
        <v>22.919829429087891</v>
      </c>
      <c r="C18" s="12">
        <v>74.725242826103539</v>
      </c>
      <c r="D18" s="12">
        <v>4.7831665033936715E-3</v>
      </c>
      <c r="E18" s="12">
        <v>2.3501445783051707</v>
      </c>
    </row>
    <row r="19" spans="1:5" x14ac:dyDescent="0.3">
      <c r="A19" s="10" t="s">
        <v>14</v>
      </c>
      <c r="B19" s="12">
        <v>23.821826066201027</v>
      </c>
      <c r="C19" s="12">
        <v>74.577504581771279</v>
      </c>
      <c r="D19" s="12">
        <v>8.5761734875304235E-3</v>
      </c>
      <c r="E19" s="14">
        <v>1.5920931785401566</v>
      </c>
    </row>
    <row r="20" spans="1:5" x14ac:dyDescent="0.3">
      <c r="A20" s="10" t="s">
        <v>50</v>
      </c>
      <c r="B20" s="12">
        <v>1.4589308980491531</v>
      </c>
      <c r="C20" s="12">
        <v>98.534299201206025</v>
      </c>
      <c r="D20" s="12">
        <v>6.2649074007808522E-3</v>
      </c>
      <c r="E20" s="12">
        <v>5.0499334404753799E-4</v>
      </c>
    </row>
    <row r="21" spans="1:5" x14ac:dyDescent="0.3">
      <c r="A21" s="10" t="s">
        <v>7</v>
      </c>
      <c r="B21" s="12">
        <v>3.9179044751508267</v>
      </c>
      <c r="C21" s="12">
        <v>96.077819696623806</v>
      </c>
      <c r="D21" s="12">
        <v>3.487421690775201E-3</v>
      </c>
      <c r="E21" s="12">
        <v>7.884065345994248E-4</v>
      </c>
    </row>
    <row r="22" spans="1:5" x14ac:dyDescent="0.3">
      <c r="A22" s="10" t="s">
        <v>24</v>
      </c>
      <c r="B22" s="12">
        <v>21.39935531230519</v>
      </c>
      <c r="C22" s="12">
        <v>78.426808000604737</v>
      </c>
      <c r="D22" s="12">
        <v>0.16258457303934665</v>
      </c>
      <c r="E22" s="12">
        <v>1.1252114050725957E-2</v>
      </c>
    </row>
    <row r="23" spans="1:5" x14ac:dyDescent="0.3">
      <c r="A23" s="10" t="s">
        <v>46</v>
      </c>
      <c r="B23" s="12">
        <v>11.35640989311112</v>
      </c>
      <c r="C23" s="12">
        <v>88.523270200991817</v>
      </c>
      <c r="D23" s="12">
        <v>0.1203199058970653</v>
      </c>
      <c r="E23" s="13">
        <v>-1.3057018292596798E-2</v>
      </c>
    </row>
    <row r="24" spans="1:5" x14ac:dyDescent="0.3">
      <c r="A24" s="10" t="s">
        <v>44</v>
      </c>
      <c r="B24" s="12">
        <v>3.8061613888029902</v>
      </c>
      <c r="C24" s="12">
        <v>96.181212610689741</v>
      </c>
      <c r="D24" s="12">
        <v>7.1802578502644576E-3</v>
      </c>
      <c r="E24" s="12">
        <v>5.4457426570101112E-3</v>
      </c>
    </row>
    <row r="25" spans="1:5" x14ac:dyDescent="0.3">
      <c r="A25" s="10" t="s">
        <v>32</v>
      </c>
      <c r="B25" s="12">
        <v>62.099306847211423</v>
      </c>
      <c r="C25" s="12">
        <v>37.886182732599572</v>
      </c>
      <c r="D25" s="12">
        <v>1.1730865085387831E-2</v>
      </c>
      <c r="E25" s="12">
        <v>2.7795551036179224E-3</v>
      </c>
    </row>
    <row r="26" spans="1:5" x14ac:dyDescent="0.3">
      <c r="A26" s="10" t="s">
        <v>53</v>
      </c>
      <c r="B26" s="14">
        <v>6.3240767091249595</v>
      </c>
      <c r="C26" s="12">
        <v>93.626523495525532</v>
      </c>
      <c r="D26" s="12">
        <v>4.6615409249722753E-2</v>
      </c>
      <c r="E26" s="12">
        <v>2.784386099794024E-3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Y37" sqref="Y37"/>
    </sheetView>
  </sheetViews>
  <sheetFormatPr defaultColWidth="20.77734375" defaultRowHeight="14.4" x14ac:dyDescent="0.3"/>
  <cols>
    <col min="1" max="1" width="40.77734375" style="10" customWidth="1"/>
    <col min="2" max="16384" width="20.77734375" style="10"/>
  </cols>
  <sheetData>
    <row r="1" spans="1:5" x14ac:dyDescent="0.3">
      <c r="A1" s="10" t="s">
        <v>135</v>
      </c>
    </row>
    <row r="2" spans="1:5" x14ac:dyDescent="0.3">
      <c r="A2" s="10" t="s">
        <v>249</v>
      </c>
    </row>
    <row r="3" spans="1:5" x14ac:dyDescent="0.3">
      <c r="A3" s="10" t="s">
        <v>250</v>
      </c>
    </row>
    <row r="4" spans="1:5" x14ac:dyDescent="0.3">
      <c r="A4" s="10" t="s">
        <v>141</v>
      </c>
    </row>
    <row r="5" spans="1:5" x14ac:dyDescent="0.3">
      <c r="A5" s="10" t="s">
        <v>144</v>
      </c>
    </row>
    <row r="7" spans="1:5" s="11" customFormat="1" x14ac:dyDescent="0.3"/>
    <row r="8" spans="1:5" s="11" customFormat="1" x14ac:dyDescent="0.3">
      <c r="A8" s="11" t="s">
        <v>148</v>
      </c>
      <c r="B8" s="11" t="s">
        <v>246</v>
      </c>
      <c r="C8" s="11" t="s">
        <v>251</v>
      </c>
      <c r="D8" s="11" t="s">
        <v>93</v>
      </c>
      <c r="E8" s="11" t="s">
        <v>248</v>
      </c>
    </row>
    <row r="9" spans="1:5" x14ac:dyDescent="0.3">
      <c r="A9" s="10" t="s">
        <v>18</v>
      </c>
      <c r="B9" s="12">
        <v>56.490599794521238</v>
      </c>
      <c r="C9" s="12">
        <v>41.170203652453701</v>
      </c>
      <c r="D9" s="12">
        <v>0.71640988480681767</v>
      </c>
      <c r="E9" s="12">
        <v>1.622786668218247</v>
      </c>
    </row>
    <row r="10" spans="1:5" x14ac:dyDescent="0.3">
      <c r="A10" s="10" t="s">
        <v>66</v>
      </c>
      <c r="B10" s="12">
        <v>32.754490470909673</v>
      </c>
      <c r="C10" s="12">
        <v>66.048806411083859</v>
      </c>
      <c r="D10" s="12">
        <v>1.1598450358452157</v>
      </c>
      <c r="E10" s="12">
        <v>3.6858082161251596E-2</v>
      </c>
    </row>
    <row r="11" spans="1:5" x14ac:dyDescent="0.3">
      <c r="A11" s="10" t="s">
        <v>47</v>
      </c>
      <c r="B11" s="12">
        <v>62.207512253799244</v>
      </c>
      <c r="C11" s="12">
        <v>36.369669701389761</v>
      </c>
      <c r="D11" s="12">
        <v>1.366541979611078</v>
      </c>
      <c r="E11" s="12">
        <v>5.6276065199907285E-2</v>
      </c>
    </row>
    <row r="12" spans="1:5" x14ac:dyDescent="0.3">
      <c r="A12" s="10" t="s">
        <v>45</v>
      </c>
      <c r="B12" s="14">
        <v>77.734066587394267</v>
      </c>
      <c r="C12" s="12">
        <v>22.198314216714866</v>
      </c>
      <c r="D12" s="12">
        <v>5.4512055865175144E-2</v>
      </c>
      <c r="E12" s="12">
        <v>1.3107140025701442E-2</v>
      </c>
    </row>
    <row r="13" spans="1:5" x14ac:dyDescent="0.3">
      <c r="A13" s="10" t="s">
        <v>15</v>
      </c>
      <c r="B13" s="12">
        <v>81.985135547502281</v>
      </c>
      <c r="C13" s="12">
        <v>17.462338536084097</v>
      </c>
      <c r="D13" s="14">
        <v>0.39302858303368948</v>
      </c>
      <c r="E13" s="12">
        <v>0.15949733337992075</v>
      </c>
    </row>
    <row r="14" spans="1:5" x14ac:dyDescent="0.3">
      <c r="A14" s="10" t="s">
        <v>56</v>
      </c>
      <c r="B14" s="12">
        <v>74.77193500687099</v>
      </c>
      <c r="C14" s="12">
        <v>24.442823301061949</v>
      </c>
      <c r="D14" s="12">
        <v>6.6661209815208483E-2</v>
      </c>
      <c r="E14" s="12">
        <v>0.71858048225185422</v>
      </c>
    </row>
    <row r="15" spans="1:5" x14ac:dyDescent="0.3">
      <c r="A15" s="10" t="s">
        <v>26</v>
      </c>
      <c r="B15" s="12">
        <v>64.085339931628837</v>
      </c>
      <c r="C15" s="12">
        <v>33.735790970211703</v>
      </c>
      <c r="D15" s="12">
        <v>2.0296652712862029</v>
      </c>
      <c r="E15" s="12">
        <v>0.14920382687326048</v>
      </c>
    </row>
    <row r="16" spans="1:5" x14ac:dyDescent="0.3">
      <c r="A16" s="10" t="s">
        <v>31</v>
      </c>
      <c r="B16" s="12">
        <v>61.307368917509685</v>
      </c>
      <c r="C16" s="12">
        <v>37.575980202602175</v>
      </c>
      <c r="D16" s="12">
        <v>1.0675939122118614</v>
      </c>
      <c r="E16" s="14">
        <v>4.9056967676295256E-2</v>
      </c>
    </row>
    <row r="17" spans="1:5" x14ac:dyDescent="0.3">
      <c r="A17" s="10" t="s">
        <v>64</v>
      </c>
      <c r="B17" s="12">
        <v>42.834227461496653</v>
      </c>
      <c r="C17" s="14">
        <v>44.964060726370931</v>
      </c>
      <c r="D17" s="12">
        <v>1.0416349389979143</v>
      </c>
      <c r="E17" s="17">
        <v>11.160076873134491</v>
      </c>
    </row>
    <row r="18" spans="1:5" x14ac:dyDescent="0.3">
      <c r="A18" s="10" t="s">
        <v>6</v>
      </c>
      <c r="B18" s="12">
        <v>44.248270920409837</v>
      </c>
      <c r="C18" s="12">
        <v>50.91231074269048</v>
      </c>
      <c r="D18" s="12">
        <v>3.2737641399280579E-2</v>
      </c>
      <c r="E18" s="12">
        <v>4.806680695500396</v>
      </c>
    </row>
    <row r="19" spans="1:5" x14ac:dyDescent="0.3">
      <c r="A19" s="10" t="s">
        <v>14</v>
      </c>
      <c r="B19" s="14">
        <v>46.174060964024264</v>
      </c>
      <c r="C19" s="12">
        <v>50.393348851018452</v>
      </c>
      <c r="D19" s="12">
        <v>6.0781195111201419E-2</v>
      </c>
      <c r="E19" s="12">
        <v>3.3718089898460826</v>
      </c>
    </row>
    <row r="20" spans="1:5" x14ac:dyDescent="0.3">
      <c r="A20" s="10" t="s">
        <v>50</v>
      </c>
      <c r="B20" s="12">
        <v>21.305930347146028</v>
      </c>
      <c r="C20" s="12">
        <v>78.36415766176529</v>
      </c>
      <c r="D20" s="12">
        <v>0.3221521847464261</v>
      </c>
      <c r="E20" s="12">
        <v>7.7598063422608544E-3</v>
      </c>
    </row>
    <row r="21" spans="1:5" x14ac:dyDescent="0.3">
      <c r="A21" s="10" t="s">
        <v>7</v>
      </c>
      <c r="B21" s="12">
        <v>18.070863905117921</v>
      </c>
      <c r="C21" s="12">
        <v>81.867965401782868</v>
      </c>
      <c r="D21" s="12">
        <v>5.7299745853370353E-2</v>
      </c>
      <c r="E21" s="12">
        <v>3.870947245832008E-3</v>
      </c>
    </row>
    <row r="22" spans="1:5" x14ac:dyDescent="0.3">
      <c r="A22" s="10" t="s">
        <v>24</v>
      </c>
      <c r="B22" s="14">
        <v>68.428059428903993</v>
      </c>
      <c r="C22" s="12">
        <v>29.908719649670584</v>
      </c>
      <c r="D22" s="12">
        <v>1.6295206447944961</v>
      </c>
      <c r="E22" s="12">
        <v>3.370027663093534E-2</v>
      </c>
    </row>
    <row r="23" spans="1:5" x14ac:dyDescent="0.3">
      <c r="A23" s="10" t="s">
        <v>46</v>
      </c>
      <c r="B23" s="12">
        <v>25.88279573095928</v>
      </c>
      <c r="C23" s="12">
        <v>73.159444828851591</v>
      </c>
      <c r="D23" s="12">
        <v>0.95775944018911663</v>
      </c>
      <c r="E23" s="13">
        <v>-3.1058592936223577E-2</v>
      </c>
    </row>
    <row r="24" spans="1:5" x14ac:dyDescent="0.3">
      <c r="A24" s="10" t="s">
        <v>44</v>
      </c>
      <c r="B24" s="12">
        <v>0.92948620458996689</v>
      </c>
      <c r="C24" s="12">
        <v>99.063254411197875</v>
      </c>
      <c r="D24" s="12">
        <v>5.9181066264320376E-3</v>
      </c>
      <c r="E24" s="12">
        <v>1.3412775857188561E-3</v>
      </c>
    </row>
    <row r="25" spans="1:5" x14ac:dyDescent="0.3">
      <c r="A25" s="10" t="s">
        <v>32</v>
      </c>
      <c r="B25" s="14">
        <v>67.773030160297594</v>
      </c>
      <c r="C25" s="12">
        <v>32.167522196610406</v>
      </c>
      <c r="D25" s="12">
        <v>5.5516776565476461E-2</v>
      </c>
      <c r="E25" s="12">
        <v>3.9308665265356335E-3</v>
      </c>
    </row>
    <row r="26" spans="1:5" x14ac:dyDescent="0.3">
      <c r="A26" s="10" t="s">
        <v>53</v>
      </c>
      <c r="B26" s="14">
        <v>55.78904824212804</v>
      </c>
      <c r="C26" s="12">
        <v>43.135425297396083</v>
      </c>
      <c r="D26" s="12">
        <v>1.0566658206792812</v>
      </c>
      <c r="E26" s="12">
        <v>1.8860639796607358E-2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7" workbookViewId="0">
      <selection activeCell="Y37" sqref="Y37"/>
    </sheetView>
  </sheetViews>
  <sheetFormatPr defaultColWidth="20.77734375" defaultRowHeight="14.4" x14ac:dyDescent="0.3"/>
  <cols>
    <col min="1" max="1" width="40.77734375" style="10" customWidth="1"/>
    <col min="2" max="16384" width="20.77734375" style="10"/>
  </cols>
  <sheetData>
    <row r="1" spans="1:5" x14ac:dyDescent="0.3">
      <c r="A1" s="10" t="s">
        <v>135</v>
      </c>
    </row>
    <row r="2" spans="1:5" x14ac:dyDescent="0.3">
      <c r="A2" s="10" t="s">
        <v>252</v>
      </c>
    </row>
    <row r="3" spans="1:5" x14ac:dyDescent="0.3">
      <c r="A3" s="10" t="s">
        <v>253</v>
      </c>
    </row>
    <row r="4" spans="1:5" x14ac:dyDescent="0.3">
      <c r="A4" s="10" t="s">
        <v>141</v>
      </c>
    </row>
    <row r="5" spans="1:5" x14ac:dyDescent="0.3">
      <c r="A5" s="10" t="s">
        <v>144</v>
      </c>
    </row>
    <row r="7" spans="1:5" s="11" customFormat="1" x14ac:dyDescent="0.3"/>
    <row r="8" spans="1:5" s="11" customFormat="1" x14ac:dyDescent="0.3">
      <c r="A8" s="11" t="s">
        <v>148</v>
      </c>
      <c r="B8" s="11" t="s">
        <v>246</v>
      </c>
      <c r="C8" s="11" t="s">
        <v>254</v>
      </c>
      <c r="D8" s="11" t="s">
        <v>93</v>
      </c>
      <c r="E8" s="11" t="s">
        <v>248</v>
      </c>
    </row>
    <row r="9" spans="1:5" x14ac:dyDescent="0.3">
      <c r="A9" s="10" t="s">
        <v>18</v>
      </c>
      <c r="B9" s="12">
        <v>45.203847312970545</v>
      </c>
      <c r="C9" s="12">
        <v>52.924324731245086</v>
      </c>
      <c r="D9" s="12">
        <v>0.57327207078856202</v>
      </c>
      <c r="E9" s="12">
        <v>1.298555884995819</v>
      </c>
    </row>
    <row r="10" spans="1:5" x14ac:dyDescent="0.3">
      <c r="A10" s="10" t="s">
        <v>66</v>
      </c>
      <c r="B10" s="12">
        <v>4.9949787659461338</v>
      </c>
      <c r="C10" s="12">
        <v>94.822526968272399</v>
      </c>
      <c r="D10" s="12">
        <v>0.1768734994305039</v>
      </c>
      <c r="E10" s="12">
        <v>5.6207663509578541E-3</v>
      </c>
    </row>
    <row r="11" spans="1:5" x14ac:dyDescent="0.3">
      <c r="A11" s="10" t="s">
        <v>47</v>
      </c>
      <c r="B11" s="12">
        <v>43.940794084104276</v>
      </c>
      <c r="C11" s="12">
        <v>55.054186544817206</v>
      </c>
      <c r="D11" s="12">
        <v>0.96526830402415364</v>
      </c>
      <c r="E11" s="12">
        <v>3.9751067054353273E-2</v>
      </c>
    </row>
    <row r="12" spans="1:5" x14ac:dyDescent="0.3">
      <c r="A12" s="10" t="s">
        <v>45</v>
      </c>
      <c r="B12" s="12">
        <v>72.99881790683078</v>
      </c>
      <c r="C12" s="12">
        <v>26.93768198848953</v>
      </c>
      <c r="D12" s="12">
        <v>5.1191399228817117E-2</v>
      </c>
      <c r="E12" s="12">
        <v>1.2308705450856352E-2</v>
      </c>
    </row>
    <row r="13" spans="1:5" x14ac:dyDescent="0.3">
      <c r="A13" s="10" t="s">
        <v>15</v>
      </c>
      <c r="B13" s="12">
        <v>54.915308352702915</v>
      </c>
      <c r="C13" s="12">
        <v>44.714598568699323</v>
      </c>
      <c r="D13" s="12">
        <v>0.2632585260589716</v>
      </c>
      <c r="E13" s="12">
        <v>0.10683455253878713</v>
      </c>
    </row>
    <row r="14" spans="1:5" x14ac:dyDescent="0.3">
      <c r="A14" s="10" t="s">
        <v>56</v>
      </c>
      <c r="B14" s="12">
        <v>67.670229105701836</v>
      </c>
      <c r="C14" s="12">
        <v>31.61911006629856</v>
      </c>
      <c r="D14" s="12">
        <v>6.0329846068539937E-2</v>
      </c>
      <c r="E14" s="12">
        <v>0.65033098193107475</v>
      </c>
    </row>
    <row r="15" spans="1:5" x14ac:dyDescent="0.3">
      <c r="A15" s="10" t="s">
        <v>26</v>
      </c>
      <c r="B15" s="12">
        <v>39.913315154973894</v>
      </c>
      <c r="C15" s="12">
        <v>58.729652343451434</v>
      </c>
      <c r="D15" s="12">
        <v>1.2641061105134439</v>
      </c>
      <c r="E15" s="12">
        <v>9.2926391061244548E-2</v>
      </c>
    </row>
    <row r="16" spans="1:5" x14ac:dyDescent="0.3">
      <c r="A16" s="10" t="s">
        <v>31</v>
      </c>
      <c r="B16" s="12">
        <v>46.158121712950773</v>
      </c>
      <c r="C16" s="12">
        <v>53.001155413584634</v>
      </c>
      <c r="D16" s="12">
        <v>0.8037880396084045</v>
      </c>
      <c r="E16" s="12">
        <v>3.6934833856178247E-2</v>
      </c>
    </row>
    <row r="17" spans="1:5" x14ac:dyDescent="0.3">
      <c r="A17" s="10" t="s">
        <v>64</v>
      </c>
      <c r="B17" s="12">
        <v>19.533511529024654</v>
      </c>
      <c r="C17" s="12">
        <v>74.902193459961765</v>
      </c>
      <c r="D17" s="14">
        <v>0.47501237262280066</v>
      </c>
      <c r="E17" s="12">
        <v>5.0892826383907614</v>
      </c>
    </row>
    <row r="18" spans="1:5" x14ac:dyDescent="0.3">
      <c r="A18" s="10" t="s">
        <v>6</v>
      </c>
      <c r="B18" s="12">
        <v>42.572988612042643</v>
      </c>
      <c r="C18" s="12">
        <v>52.77081810197928</v>
      </c>
      <c r="D18" s="12">
        <v>3.149816265743071E-2</v>
      </c>
      <c r="E18" s="12">
        <v>4.6246951233206639</v>
      </c>
    </row>
    <row r="19" spans="1:5" x14ac:dyDescent="0.3">
      <c r="A19" s="10" t="s">
        <v>14</v>
      </c>
      <c r="B19" s="12">
        <v>43.961481185190536</v>
      </c>
      <c r="C19" s="12">
        <v>52.770412310240303</v>
      </c>
      <c r="D19" s="12">
        <v>5.7868667141432614E-2</v>
      </c>
      <c r="E19" s="12">
        <v>3.2102378374277278</v>
      </c>
    </row>
    <row r="20" spans="1:5" x14ac:dyDescent="0.3">
      <c r="A20" s="10" t="s">
        <v>50</v>
      </c>
      <c r="B20" s="14">
        <v>0.82904627083484494</v>
      </c>
      <c r="C20" s="12">
        <v>99.158116349924455</v>
      </c>
      <c r="D20" s="12">
        <v>1.2535433330943126E-2</v>
      </c>
      <c r="E20" s="12">
        <v>3.0194590975583834E-4</v>
      </c>
    </row>
    <row r="21" spans="1:5" x14ac:dyDescent="0.3">
      <c r="A21" s="10" t="s">
        <v>7</v>
      </c>
      <c r="B21" s="12">
        <v>1.5291439766554931</v>
      </c>
      <c r="C21" s="12">
        <v>98.465679801719403</v>
      </c>
      <c r="D21" s="12">
        <v>4.8486647526394021E-3</v>
      </c>
      <c r="E21" s="12">
        <v>3.2755687246224156E-4</v>
      </c>
    </row>
    <row r="22" spans="1:5" x14ac:dyDescent="0.3">
      <c r="A22" s="10" t="s">
        <v>24</v>
      </c>
      <c r="B22" s="14">
        <v>31.493096888654371</v>
      </c>
      <c r="C22" s="12">
        <v>67.741427978529515</v>
      </c>
      <c r="D22" s="12">
        <v>0.74996503237611445</v>
      </c>
      <c r="E22" s="12">
        <v>1.551010044001669E-2</v>
      </c>
    </row>
    <row r="23" spans="1:5" x14ac:dyDescent="0.3">
      <c r="A23" s="10" t="s">
        <v>46</v>
      </c>
      <c r="B23" s="12">
        <v>20.845407223697531</v>
      </c>
      <c r="C23" s="12">
        <v>78.383235390040227</v>
      </c>
      <c r="D23" s="12">
        <v>0.77135738626223149</v>
      </c>
      <c r="E23" s="13">
        <v>-2.5013875002659763E-2</v>
      </c>
    </row>
    <row r="24" spans="1:5" x14ac:dyDescent="0.3">
      <c r="A24" s="10" t="s">
        <v>44</v>
      </c>
      <c r="B24" s="14">
        <v>4.0590871999462781</v>
      </c>
      <c r="C24" s="12">
        <v>95.909210905510363</v>
      </c>
      <c r="D24" s="12">
        <v>2.5844505081509324E-2</v>
      </c>
      <c r="E24" s="12">
        <v>5.8573894618505398E-3</v>
      </c>
    </row>
    <row r="25" spans="1:5" x14ac:dyDescent="0.3">
      <c r="A25" s="10" t="s">
        <v>32</v>
      </c>
      <c r="B25" s="12">
        <v>61.219725808290903</v>
      </c>
      <c r="C25" s="12">
        <v>38.726574831045731</v>
      </c>
      <c r="D25" s="12">
        <v>5.0148588769042733E-2</v>
      </c>
      <c r="E25" s="12">
        <v>3.5507718943144769E-3</v>
      </c>
    </row>
    <row r="26" spans="1:5" x14ac:dyDescent="0.3">
      <c r="A26" s="10" t="s">
        <v>53</v>
      </c>
      <c r="B26" s="12">
        <v>45.406732166978976</v>
      </c>
      <c r="C26" s="12">
        <v>53.717896346255792</v>
      </c>
      <c r="D26" s="17">
        <v>0.86002080335491515</v>
      </c>
      <c r="E26" s="12">
        <v>1.5350683410316045E-2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Y37" sqref="Y37"/>
    </sheetView>
  </sheetViews>
  <sheetFormatPr defaultColWidth="20.6640625" defaultRowHeight="14.4" x14ac:dyDescent="0.3"/>
  <cols>
    <col min="1" max="1" width="40.6640625" style="10" customWidth="1"/>
    <col min="2" max="16384" width="20.6640625" style="10"/>
  </cols>
  <sheetData>
    <row r="1" spans="1:4" x14ac:dyDescent="0.3">
      <c r="A1" s="10" t="s">
        <v>135</v>
      </c>
    </row>
    <row r="2" spans="1:4" x14ac:dyDescent="0.3">
      <c r="A2" s="10" t="s">
        <v>136</v>
      </c>
    </row>
    <row r="3" spans="1:4" x14ac:dyDescent="0.3">
      <c r="A3" s="10" t="s">
        <v>139</v>
      </c>
    </row>
    <row r="4" spans="1:4" x14ac:dyDescent="0.3">
      <c r="A4" s="10" t="s">
        <v>141</v>
      </c>
    </row>
    <row r="5" spans="1:4" x14ac:dyDescent="0.3">
      <c r="A5" s="10" t="s">
        <v>144</v>
      </c>
    </row>
    <row r="7" spans="1:4" s="11" customFormat="1" x14ac:dyDescent="0.3"/>
    <row r="8" spans="1:4" s="11" customFormat="1" x14ac:dyDescent="0.3">
      <c r="A8" s="11" t="s">
        <v>148</v>
      </c>
      <c r="B8" s="11" t="s">
        <v>145</v>
      </c>
      <c r="C8" s="11" t="s">
        <v>146</v>
      </c>
      <c r="D8" s="11" t="s">
        <v>147</v>
      </c>
    </row>
    <row r="9" spans="1:4" x14ac:dyDescent="0.3">
      <c r="A9" s="10" t="s">
        <v>18</v>
      </c>
      <c r="B9" s="12">
        <v>83.332909613787322</v>
      </c>
      <c r="C9" s="12">
        <v>77.777213628023418</v>
      </c>
      <c r="D9" s="13">
        <v>100</v>
      </c>
    </row>
    <row r="10" spans="1:4" x14ac:dyDescent="0.3">
      <c r="A10" s="10" t="s">
        <v>66</v>
      </c>
      <c r="B10" s="12">
        <v>85.984388154390047</v>
      </c>
      <c r="C10" s="12">
        <v>81.312518484882773</v>
      </c>
      <c r="D10" s="13">
        <v>100</v>
      </c>
    </row>
    <row r="11" spans="1:4" x14ac:dyDescent="0.3">
      <c r="A11" s="10" t="s">
        <v>47</v>
      </c>
      <c r="B11" s="12">
        <v>77.859475646874969</v>
      </c>
      <c r="C11" s="12">
        <v>70.479301530857754</v>
      </c>
      <c r="D11" s="13">
        <v>100</v>
      </c>
    </row>
    <row r="12" spans="1:4" x14ac:dyDescent="0.3">
      <c r="A12" s="10" t="s">
        <v>45</v>
      </c>
      <c r="B12" s="12">
        <v>69.148200585555799</v>
      </c>
      <c r="C12" s="12">
        <v>58.864267468501261</v>
      </c>
      <c r="D12" s="13">
        <v>100</v>
      </c>
    </row>
    <row r="13" spans="1:4" x14ac:dyDescent="0.3">
      <c r="A13" s="10" t="s">
        <v>15</v>
      </c>
      <c r="B13" s="12">
        <v>62.572944009900411</v>
      </c>
      <c r="C13" s="12">
        <v>50.097258865604189</v>
      </c>
      <c r="D13" s="13">
        <v>100</v>
      </c>
    </row>
    <row r="14" spans="1:4" x14ac:dyDescent="0.3">
      <c r="A14" s="10" t="s">
        <v>56</v>
      </c>
      <c r="B14" s="12">
        <v>56.789905396275927</v>
      </c>
      <c r="C14" s="12">
        <v>42.38654042640983</v>
      </c>
      <c r="D14" s="13">
        <v>100</v>
      </c>
    </row>
    <row r="15" spans="1:4" x14ac:dyDescent="0.3">
      <c r="A15" s="10" t="s">
        <v>26</v>
      </c>
      <c r="B15" s="12">
        <v>73.98395347360271</v>
      </c>
      <c r="C15" s="12">
        <v>65.311938603519337</v>
      </c>
      <c r="D15" s="13">
        <v>100</v>
      </c>
    </row>
    <row r="16" spans="1:4" x14ac:dyDescent="0.3">
      <c r="A16" s="10" t="s">
        <v>31</v>
      </c>
      <c r="B16" s="12">
        <v>72.88552027986313</v>
      </c>
      <c r="C16" s="12">
        <v>63.847360979446087</v>
      </c>
      <c r="D16" s="13">
        <v>100</v>
      </c>
    </row>
    <row r="17" spans="1:7" x14ac:dyDescent="0.3">
      <c r="A17" s="10" t="s">
        <v>64</v>
      </c>
      <c r="B17" s="12">
        <v>64.19626246382569</v>
      </c>
      <c r="C17" s="12">
        <v>52.261683667658254</v>
      </c>
      <c r="D17" s="13">
        <v>100</v>
      </c>
    </row>
    <row r="18" spans="1:7" x14ac:dyDescent="0.3">
      <c r="A18" s="10" t="s">
        <v>6</v>
      </c>
      <c r="B18" s="14">
        <v>62.295058445445761</v>
      </c>
      <c r="C18" s="12">
        <v>49.726744581611939</v>
      </c>
      <c r="D18" s="13">
        <v>100</v>
      </c>
    </row>
    <row r="19" spans="1:7" x14ac:dyDescent="0.3">
      <c r="A19" s="10" t="s">
        <v>14</v>
      </c>
      <c r="B19" s="12">
        <v>62.185783662258466</v>
      </c>
      <c r="C19" s="14">
        <v>49.581044878140808</v>
      </c>
      <c r="D19" s="13">
        <v>100</v>
      </c>
    </row>
    <row r="20" spans="1:7" x14ac:dyDescent="0.3">
      <c r="A20" s="10" t="s">
        <v>50</v>
      </c>
      <c r="B20" s="12">
        <v>95.846413264351582</v>
      </c>
      <c r="C20" s="12">
        <v>94.461885653187323</v>
      </c>
      <c r="D20" s="13">
        <v>100</v>
      </c>
    </row>
    <row r="21" spans="1:7" x14ac:dyDescent="0.3">
      <c r="A21" s="10" t="s">
        <v>7</v>
      </c>
      <c r="B21" s="12">
        <v>89.829136447164942</v>
      </c>
      <c r="C21" s="12">
        <v>86.438849645825172</v>
      </c>
      <c r="D21" s="13">
        <v>100</v>
      </c>
    </row>
    <row r="22" spans="1:7" x14ac:dyDescent="0.3">
      <c r="A22" s="10" t="s">
        <v>24</v>
      </c>
      <c r="B22" s="12">
        <v>65.259211414255319</v>
      </c>
      <c r="C22" s="12">
        <v>53.678949135605471</v>
      </c>
      <c r="D22" s="13">
        <v>100</v>
      </c>
    </row>
    <row r="23" spans="1:7" x14ac:dyDescent="0.3">
      <c r="A23" s="10" t="s">
        <v>46</v>
      </c>
      <c r="B23" s="12">
        <v>76.41892920097267</v>
      </c>
      <c r="C23" s="12">
        <v>68.558573203155376</v>
      </c>
      <c r="D23" s="13">
        <v>100</v>
      </c>
    </row>
    <row r="24" spans="1:7" x14ac:dyDescent="0.3">
      <c r="A24" s="10" t="s">
        <v>44</v>
      </c>
      <c r="B24" s="12">
        <v>90.061723888966768</v>
      </c>
      <c r="C24" s="12">
        <v>86.748965927740159</v>
      </c>
      <c r="D24" s="13">
        <v>100</v>
      </c>
    </row>
    <row r="25" spans="1:7" x14ac:dyDescent="0.3">
      <c r="A25" s="10" t="s">
        <v>32</v>
      </c>
      <c r="B25" s="12">
        <v>46.52356612874636</v>
      </c>
      <c r="C25" s="14">
        <v>28.698088160779356</v>
      </c>
      <c r="D25" s="13">
        <v>100</v>
      </c>
    </row>
    <row r="26" spans="1:7" x14ac:dyDescent="0.3">
      <c r="A26" s="10" t="s">
        <v>53</v>
      </c>
      <c r="B26" s="12">
        <v>84.763857370196263</v>
      </c>
      <c r="C26" s="12">
        <v>79.685144175679611</v>
      </c>
      <c r="D26" s="13">
        <v>100</v>
      </c>
    </row>
    <row r="31" spans="1:7" x14ac:dyDescent="0.3">
      <c r="A31" s="11" t="s">
        <v>148</v>
      </c>
      <c r="B31" s="11" t="s">
        <v>255</v>
      </c>
      <c r="C31" s="10" t="s">
        <v>256</v>
      </c>
      <c r="D31" s="11" t="s">
        <v>145</v>
      </c>
      <c r="E31" s="11" t="s">
        <v>147</v>
      </c>
      <c r="G31" s="11" t="s">
        <v>146</v>
      </c>
    </row>
    <row r="32" spans="1:7" x14ac:dyDescent="0.3">
      <c r="A32" s="10" t="s">
        <v>18</v>
      </c>
      <c r="B32" s="15">
        <f t="shared" ref="B32:B49" si="0">D32-G32</f>
        <v>5.5556959857639043</v>
      </c>
      <c r="C32" s="15">
        <f t="shared" ref="C32:C49" si="1">E32-G32</f>
        <v>22.222786371976582</v>
      </c>
      <c r="D32" s="12">
        <v>83.332909613787322</v>
      </c>
      <c r="E32" s="13">
        <v>100</v>
      </c>
      <c r="G32" s="12">
        <v>77.777213628023418</v>
      </c>
    </row>
    <row r="33" spans="1:7" x14ac:dyDescent="0.3">
      <c r="A33" s="10" t="s">
        <v>66</v>
      </c>
      <c r="B33" s="15">
        <f t="shared" si="0"/>
        <v>4.6718696695072737</v>
      </c>
      <c r="C33" s="15">
        <f t="shared" si="1"/>
        <v>18.687481515117227</v>
      </c>
      <c r="D33" s="12">
        <v>85.984388154390047</v>
      </c>
      <c r="E33" s="13">
        <v>100</v>
      </c>
      <c r="G33" s="12">
        <v>81.312518484882773</v>
      </c>
    </row>
    <row r="34" spans="1:7" x14ac:dyDescent="0.3">
      <c r="A34" s="10" t="s">
        <v>47</v>
      </c>
      <c r="B34" s="15">
        <f t="shared" si="0"/>
        <v>7.3801741160172156</v>
      </c>
      <c r="C34" s="15">
        <f t="shared" si="1"/>
        <v>29.520698469142246</v>
      </c>
      <c r="D34" s="12">
        <v>77.859475646874969</v>
      </c>
      <c r="E34" s="13">
        <v>100</v>
      </c>
      <c r="G34" s="12">
        <v>70.479301530857754</v>
      </c>
    </row>
    <row r="35" spans="1:7" x14ac:dyDescent="0.3">
      <c r="A35" s="10" t="s">
        <v>45</v>
      </c>
      <c r="B35" s="15">
        <f t="shared" si="0"/>
        <v>10.283933117054538</v>
      </c>
      <c r="C35" s="15">
        <f t="shared" si="1"/>
        <v>41.135732531498739</v>
      </c>
      <c r="D35" s="12">
        <v>69.148200585555799</v>
      </c>
      <c r="E35" s="13">
        <v>100</v>
      </c>
      <c r="G35" s="12">
        <v>58.864267468501261</v>
      </c>
    </row>
    <row r="36" spans="1:7" x14ac:dyDescent="0.3">
      <c r="A36" s="10" t="s">
        <v>15</v>
      </c>
      <c r="B36" s="15">
        <f t="shared" si="0"/>
        <v>12.475685144296222</v>
      </c>
      <c r="C36" s="15">
        <f t="shared" si="1"/>
        <v>49.902741134395811</v>
      </c>
      <c r="D36" s="12">
        <v>62.572944009900411</v>
      </c>
      <c r="E36" s="13">
        <v>100</v>
      </c>
      <c r="G36" s="12">
        <v>50.097258865604189</v>
      </c>
    </row>
    <row r="37" spans="1:7" x14ac:dyDescent="0.3">
      <c r="A37" s="10" t="s">
        <v>56</v>
      </c>
      <c r="B37" s="15">
        <f t="shared" si="0"/>
        <v>14.403364969866097</v>
      </c>
      <c r="C37" s="15">
        <f t="shared" si="1"/>
        <v>57.61345957359017</v>
      </c>
      <c r="D37" s="12">
        <v>56.789905396275927</v>
      </c>
      <c r="E37" s="13">
        <v>100</v>
      </c>
      <c r="G37" s="12">
        <v>42.38654042640983</v>
      </c>
    </row>
    <row r="38" spans="1:7" x14ac:dyDescent="0.3">
      <c r="A38" s="10" t="s">
        <v>26</v>
      </c>
      <c r="B38" s="15">
        <f t="shared" si="0"/>
        <v>8.6720148700833732</v>
      </c>
      <c r="C38" s="15">
        <f t="shared" si="1"/>
        <v>34.688061396480663</v>
      </c>
      <c r="D38" s="12">
        <v>73.98395347360271</v>
      </c>
      <c r="E38" s="13">
        <v>100</v>
      </c>
      <c r="G38" s="12">
        <v>65.311938603519337</v>
      </c>
    </row>
    <row r="39" spans="1:7" x14ac:dyDescent="0.3">
      <c r="A39" s="10" t="s">
        <v>31</v>
      </c>
      <c r="B39" s="15">
        <f t="shared" si="0"/>
        <v>9.0381593004170426</v>
      </c>
      <c r="C39" s="15">
        <f t="shared" si="1"/>
        <v>36.152639020553913</v>
      </c>
      <c r="D39" s="12">
        <v>72.88552027986313</v>
      </c>
      <c r="E39" s="13">
        <v>100</v>
      </c>
      <c r="G39" s="12">
        <v>63.847360979446087</v>
      </c>
    </row>
    <row r="40" spans="1:7" x14ac:dyDescent="0.3">
      <c r="A40" s="10" t="s">
        <v>64</v>
      </c>
      <c r="B40" s="15">
        <f t="shared" si="0"/>
        <v>11.934578796167436</v>
      </c>
      <c r="C40" s="15">
        <f t="shared" si="1"/>
        <v>47.738316332341746</v>
      </c>
      <c r="D40" s="12">
        <v>64.19626246382569</v>
      </c>
      <c r="E40" s="13">
        <v>100</v>
      </c>
      <c r="G40" s="12">
        <v>52.261683667658254</v>
      </c>
    </row>
    <row r="41" spans="1:7" x14ac:dyDescent="0.3">
      <c r="A41" s="10" t="s">
        <v>6</v>
      </c>
      <c r="B41" s="15">
        <f t="shared" si="0"/>
        <v>12.568313863833822</v>
      </c>
      <c r="C41" s="15">
        <f t="shared" si="1"/>
        <v>50.273255418388061</v>
      </c>
      <c r="D41" s="14">
        <v>62.295058445445761</v>
      </c>
      <c r="E41" s="13">
        <v>100</v>
      </c>
      <c r="G41" s="12">
        <v>49.726744581611939</v>
      </c>
    </row>
    <row r="42" spans="1:7" x14ac:dyDescent="0.3">
      <c r="A42" s="10" t="s">
        <v>14</v>
      </c>
      <c r="B42" s="15">
        <f t="shared" si="0"/>
        <v>12.604738784117657</v>
      </c>
      <c r="C42" s="15">
        <f t="shared" si="1"/>
        <v>50.418955121859192</v>
      </c>
      <c r="D42" s="12">
        <v>62.185783662258466</v>
      </c>
      <c r="E42" s="13">
        <v>100</v>
      </c>
      <c r="G42" s="14">
        <v>49.581044878140808</v>
      </c>
    </row>
    <row r="43" spans="1:7" x14ac:dyDescent="0.3">
      <c r="A43" s="10" t="s">
        <v>50</v>
      </c>
      <c r="B43" s="15">
        <f t="shared" si="0"/>
        <v>1.384527611164259</v>
      </c>
      <c r="C43" s="15">
        <f t="shared" si="1"/>
        <v>5.5381143468126766</v>
      </c>
      <c r="D43" s="12">
        <v>95.846413264351582</v>
      </c>
      <c r="E43" s="13">
        <v>100</v>
      </c>
      <c r="G43" s="12">
        <v>94.461885653187323</v>
      </c>
    </row>
    <row r="44" spans="1:7" x14ac:dyDescent="0.3">
      <c r="A44" s="10" t="s">
        <v>7</v>
      </c>
      <c r="B44" s="15">
        <f t="shared" si="0"/>
        <v>3.3902868013397693</v>
      </c>
      <c r="C44" s="15">
        <f t="shared" si="1"/>
        <v>13.561150354174828</v>
      </c>
      <c r="D44" s="12">
        <v>89.829136447164942</v>
      </c>
      <c r="E44" s="13">
        <v>100</v>
      </c>
      <c r="G44" s="12">
        <v>86.438849645825172</v>
      </c>
    </row>
    <row r="45" spans="1:7" x14ac:dyDescent="0.3">
      <c r="A45" s="10" t="s">
        <v>24</v>
      </c>
      <c r="B45" s="15">
        <f t="shared" si="0"/>
        <v>11.580262278649847</v>
      </c>
      <c r="C45" s="15">
        <f t="shared" si="1"/>
        <v>46.321050864394529</v>
      </c>
      <c r="D45" s="12">
        <v>65.259211414255319</v>
      </c>
      <c r="E45" s="13">
        <v>100</v>
      </c>
      <c r="G45" s="12">
        <v>53.678949135605471</v>
      </c>
    </row>
    <row r="46" spans="1:7" x14ac:dyDescent="0.3">
      <c r="A46" s="10" t="s">
        <v>46</v>
      </c>
      <c r="B46" s="15">
        <f t="shared" si="0"/>
        <v>7.8603559978172939</v>
      </c>
      <c r="C46" s="15">
        <f t="shared" si="1"/>
        <v>31.441426796844624</v>
      </c>
      <c r="D46" s="12">
        <v>76.41892920097267</v>
      </c>
      <c r="E46" s="13">
        <v>100</v>
      </c>
      <c r="G46" s="12">
        <v>68.558573203155376</v>
      </c>
    </row>
    <row r="47" spans="1:7" x14ac:dyDescent="0.3">
      <c r="A47" s="10" t="s">
        <v>44</v>
      </c>
      <c r="B47" s="15">
        <f t="shared" si="0"/>
        <v>3.3127579612266089</v>
      </c>
      <c r="C47" s="15">
        <f t="shared" si="1"/>
        <v>13.251034072259841</v>
      </c>
      <c r="D47" s="12">
        <v>90.061723888966768</v>
      </c>
      <c r="E47" s="13">
        <v>100</v>
      </c>
      <c r="G47" s="12">
        <v>86.748965927740159</v>
      </c>
    </row>
    <row r="48" spans="1:7" x14ac:dyDescent="0.3">
      <c r="A48" s="10" t="s">
        <v>32</v>
      </c>
      <c r="B48" s="15">
        <f t="shared" si="0"/>
        <v>17.825477967967004</v>
      </c>
      <c r="C48" s="15">
        <f t="shared" si="1"/>
        <v>71.301911839220651</v>
      </c>
      <c r="D48" s="12">
        <v>46.52356612874636</v>
      </c>
      <c r="E48" s="13">
        <v>100</v>
      </c>
      <c r="G48" s="14">
        <v>28.698088160779356</v>
      </c>
    </row>
    <row r="49" spans="1:7" x14ac:dyDescent="0.3">
      <c r="A49" s="10" t="s">
        <v>53</v>
      </c>
      <c r="B49" s="15">
        <f t="shared" si="0"/>
        <v>5.0787131945166522</v>
      </c>
      <c r="C49" s="15">
        <f t="shared" si="1"/>
        <v>20.314855824320389</v>
      </c>
      <c r="D49" s="12">
        <v>84.763857370196263</v>
      </c>
      <c r="E49" s="13">
        <v>100</v>
      </c>
      <c r="G49" s="12">
        <v>79.685144175679611</v>
      </c>
    </row>
    <row r="54" spans="1:7" x14ac:dyDescent="0.3">
      <c r="C54" s="10" t="s">
        <v>257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E12" sqref="E12"/>
    </sheetView>
  </sheetViews>
  <sheetFormatPr defaultColWidth="20.6640625" defaultRowHeight="14.4" x14ac:dyDescent="0.3"/>
  <cols>
    <col min="1" max="1" width="40.6640625" style="10" customWidth="1"/>
    <col min="2" max="16384" width="20.6640625" style="10"/>
  </cols>
  <sheetData>
    <row r="1" spans="1:8" x14ac:dyDescent="0.3">
      <c r="A1" s="10" t="s">
        <v>135</v>
      </c>
    </row>
    <row r="2" spans="1:8" x14ac:dyDescent="0.3">
      <c r="A2" s="10" t="s">
        <v>155</v>
      </c>
    </row>
    <row r="3" spans="1:8" x14ac:dyDescent="0.3">
      <c r="A3" s="10" t="s">
        <v>157</v>
      </c>
    </row>
    <row r="4" spans="1:8" x14ac:dyDescent="0.3">
      <c r="A4" s="10" t="s">
        <v>141</v>
      </c>
    </row>
    <row r="5" spans="1:8" x14ac:dyDescent="0.3">
      <c r="A5" s="10" t="s">
        <v>144</v>
      </c>
    </row>
    <row r="7" spans="1:8" s="11" customFormat="1" x14ac:dyDescent="0.3"/>
    <row r="8" spans="1:8" s="11" customFormat="1" x14ac:dyDescent="0.3">
      <c r="A8" s="11" t="s">
        <v>148</v>
      </c>
      <c r="B8" s="11" t="s">
        <v>162</v>
      </c>
      <c r="C8" s="11" t="s">
        <v>163</v>
      </c>
      <c r="E8" s="11" t="s">
        <v>164</v>
      </c>
      <c r="G8" s="11" t="s">
        <v>165</v>
      </c>
    </row>
    <row r="9" spans="1:8" x14ac:dyDescent="0.3">
      <c r="A9" s="10" t="s">
        <v>18</v>
      </c>
      <c r="B9" s="13">
        <v>100</v>
      </c>
      <c r="C9" s="12">
        <v>81.642272709113001</v>
      </c>
      <c r="D9" s="12">
        <f t="shared" ref="D9:D26" si="0">C9-B9</f>
        <v>-18.357727290886999</v>
      </c>
      <c r="E9" s="14">
        <v>85.346048882274005</v>
      </c>
      <c r="F9" s="22">
        <f t="shared" ref="F9:F26" si="1">E9-B9</f>
        <v>-14.653951117725995</v>
      </c>
      <c r="G9" s="12">
        <v>93.603495050083012</v>
      </c>
      <c r="H9" s="23">
        <f t="shared" ref="H9:H26" si="2">G9-B9</f>
        <v>-6.3965049499169879</v>
      </c>
    </row>
    <row r="10" spans="1:8" x14ac:dyDescent="0.3">
      <c r="A10" s="10" t="s">
        <v>66</v>
      </c>
      <c r="B10" s="13">
        <v>100</v>
      </c>
      <c r="C10" s="12">
        <v>78.781151232547131</v>
      </c>
      <c r="D10" s="12">
        <f t="shared" si="0"/>
        <v>-21.218848767452869</v>
      </c>
      <c r="E10" s="12">
        <v>83.682129443191073</v>
      </c>
      <c r="F10" s="22">
        <f t="shared" si="1"/>
        <v>-16.317870556808927</v>
      </c>
      <c r="G10" s="12">
        <v>92.314266102347915</v>
      </c>
      <c r="H10" s="23">
        <f t="shared" si="2"/>
        <v>-7.685733897652085</v>
      </c>
    </row>
    <row r="11" spans="1:8" x14ac:dyDescent="0.3">
      <c r="A11" s="10" t="s">
        <v>47</v>
      </c>
      <c r="B11" s="13">
        <v>100</v>
      </c>
      <c r="C11" s="12">
        <v>83.73048552160796</v>
      </c>
      <c r="D11" s="12">
        <f t="shared" si="0"/>
        <v>-16.26951447839204</v>
      </c>
      <c r="E11" s="12">
        <v>86.728564517157309</v>
      </c>
      <c r="F11" s="22">
        <f t="shared" si="1"/>
        <v>-13.271435482842691</v>
      </c>
      <c r="G11" s="14">
        <v>94.605022355682678</v>
      </c>
      <c r="H11" s="23">
        <f t="shared" si="2"/>
        <v>-5.3949776443173221</v>
      </c>
    </row>
    <row r="12" spans="1:8" x14ac:dyDescent="0.3">
      <c r="A12" s="10" t="s">
        <v>45</v>
      </c>
      <c r="B12" s="13">
        <v>100</v>
      </c>
      <c r="C12" s="12">
        <v>88.01985337762342</v>
      </c>
      <c r="D12" s="12">
        <f t="shared" si="0"/>
        <v>-11.98014662237658</v>
      </c>
      <c r="E12" s="12">
        <v>89.515312772720236</v>
      </c>
      <c r="F12" s="22">
        <f t="shared" si="1"/>
        <v>-10.484687227279764</v>
      </c>
      <c r="G12" s="12">
        <v>97.935461789220696</v>
      </c>
      <c r="H12" s="23">
        <f t="shared" si="2"/>
        <v>-2.064538210779304</v>
      </c>
    </row>
    <row r="13" spans="1:8" x14ac:dyDescent="0.3">
      <c r="A13" s="10" t="s">
        <v>15</v>
      </c>
      <c r="B13" s="13">
        <v>100</v>
      </c>
      <c r="C13" s="12">
        <v>93.365848875554519</v>
      </c>
      <c r="D13" s="12">
        <f t="shared" si="0"/>
        <v>-6.6341511244454807</v>
      </c>
      <c r="E13" s="12">
        <v>94.780729496526689</v>
      </c>
      <c r="F13" s="22">
        <f t="shared" si="1"/>
        <v>-5.2192705034733109</v>
      </c>
      <c r="G13" s="12">
        <v>99.008303283272625</v>
      </c>
      <c r="H13" s="23">
        <f t="shared" si="2"/>
        <v>-0.99169671672737536</v>
      </c>
    </row>
    <row r="14" spans="1:8" x14ac:dyDescent="0.3">
      <c r="A14" s="10" t="s">
        <v>56</v>
      </c>
      <c r="B14" s="12">
        <v>95.370470953887832</v>
      </c>
      <c r="C14" s="12">
        <v>95.719850353147606</v>
      </c>
      <c r="D14" s="12">
        <f t="shared" si="0"/>
        <v>0.34937939925977446</v>
      </c>
      <c r="E14" s="12">
        <v>93.07879922682524</v>
      </c>
      <c r="F14" s="22">
        <f t="shared" si="1"/>
        <v>-2.2916717270625924</v>
      </c>
      <c r="G14" s="13">
        <v>100</v>
      </c>
      <c r="H14" s="23">
        <f t="shared" si="2"/>
        <v>4.6295290461121681</v>
      </c>
    </row>
    <row r="15" spans="1:8" x14ac:dyDescent="0.3">
      <c r="A15" s="10" t="s">
        <v>26</v>
      </c>
      <c r="B15" s="13">
        <v>100</v>
      </c>
      <c r="C15" s="12">
        <v>86.244481580166848</v>
      </c>
      <c r="D15" s="12">
        <f t="shared" si="0"/>
        <v>-13.755518419833152</v>
      </c>
      <c r="E15" s="12">
        <v>88.483170837773031</v>
      </c>
      <c r="F15" s="22">
        <f t="shared" si="1"/>
        <v>-11.516829162226969</v>
      </c>
      <c r="G15" s="12">
        <v>95.890523725692461</v>
      </c>
      <c r="H15" s="23">
        <f t="shared" si="2"/>
        <v>-4.1094762743075393</v>
      </c>
    </row>
    <row r="16" spans="1:8" x14ac:dyDescent="0.3">
      <c r="A16" s="10" t="s">
        <v>31</v>
      </c>
      <c r="B16" s="13">
        <v>100</v>
      </c>
      <c r="C16" s="12">
        <v>86.89566835434357</v>
      </c>
      <c r="D16" s="12">
        <f t="shared" si="0"/>
        <v>-13.10433164565643</v>
      </c>
      <c r="E16" s="12">
        <v>88.828142947289265</v>
      </c>
      <c r="F16" s="22">
        <f t="shared" si="1"/>
        <v>-11.171857052710735</v>
      </c>
      <c r="G16" s="12">
        <v>96.139893330326771</v>
      </c>
      <c r="H16" s="23">
        <f t="shared" si="2"/>
        <v>-3.8601066696732289</v>
      </c>
    </row>
    <row r="17" spans="1:8" x14ac:dyDescent="0.3">
      <c r="A17" s="10" t="s">
        <v>64</v>
      </c>
      <c r="B17" s="12">
        <v>64.840442971681469</v>
      </c>
      <c r="C17" s="12">
        <v>59.868686164620897</v>
      </c>
      <c r="D17" s="12">
        <f t="shared" si="0"/>
        <v>-4.9717568070605722</v>
      </c>
      <c r="E17" s="12">
        <v>95.903650555935641</v>
      </c>
      <c r="F17" s="22">
        <f t="shared" si="1"/>
        <v>31.063207584254172</v>
      </c>
      <c r="G17" s="13">
        <v>100</v>
      </c>
      <c r="H17" s="23">
        <f t="shared" si="2"/>
        <v>35.159557028318531</v>
      </c>
    </row>
    <row r="18" spans="1:8" x14ac:dyDescent="0.3">
      <c r="A18" s="10" t="s">
        <v>6</v>
      </c>
      <c r="B18" s="12">
        <v>98.825386172275856</v>
      </c>
      <c r="C18" s="12">
        <v>92.968364008579414</v>
      </c>
      <c r="D18" s="12">
        <f t="shared" si="0"/>
        <v>-5.8570221636964419</v>
      </c>
      <c r="E18" s="12">
        <v>92.577732753901216</v>
      </c>
      <c r="F18" s="22">
        <f t="shared" si="1"/>
        <v>-6.2476534183746395</v>
      </c>
      <c r="G18" s="13">
        <v>100</v>
      </c>
      <c r="H18" s="23">
        <f t="shared" si="2"/>
        <v>1.1746138277241442</v>
      </c>
    </row>
    <row r="19" spans="1:8" x14ac:dyDescent="0.3">
      <c r="A19" s="10" t="s">
        <v>14</v>
      </c>
      <c r="B19" s="12">
        <v>98.936645803527711</v>
      </c>
      <c r="C19" s="12">
        <v>92.797883340372167</v>
      </c>
      <c r="D19" s="12">
        <f t="shared" si="0"/>
        <v>-6.138762463155544</v>
      </c>
      <c r="E19" s="12">
        <v>92.514480965919589</v>
      </c>
      <c r="F19" s="22">
        <f t="shared" si="1"/>
        <v>-6.422164837608122</v>
      </c>
      <c r="G19" s="13">
        <v>100</v>
      </c>
      <c r="H19" s="23">
        <f t="shared" si="2"/>
        <v>1.0633541964722895</v>
      </c>
    </row>
    <row r="20" spans="1:8" x14ac:dyDescent="0.3">
      <c r="A20" s="10" t="s">
        <v>50</v>
      </c>
      <c r="B20" s="13">
        <v>100</v>
      </c>
      <c r="C20" s="12">
        <v>75.648382491758852</v>
      </c>
      <c r="D20" s="12">
        <f t="shared" si="0"/>
        <v>-24.351617508241148</v>
      </c>
      <c r="E20" s="12">
        <v>81.565414296938798</v>
      </c>
      <c r="F20" s="22">
        <f t="shared" si="1"/>
        <v>-18.434585703061202</v>
      </c>
      <c r="G20" s="12">
        <v>90.936888687568867</v>
      </c>
      <c r="H20" s="23">
        <f t="shared" si="2"/>
        <v>-9.0631113124311327</v>
      </c>
    </row>
    <row r="21" spans="1:8" x14ac:dyDescent="0.3">
      <c r="A21" s="10" t="s">
        <v>7</v>
      </c>
      <c r="B21" s="13">
        <v>100</v>
      </c>
      <c r="C21" s="12">
        <v>77.524216675158854</v>
      </c>
      <c r="D21" s="12">
        <f t="shared" si="0"/>
        <v>-22.475783324841146</v>
      </c>
      <c r="E21" s="12">
        <v>82.930847175121826</v>
      </c>
      <c r="F21" s="22">
        <f t="shared" si="1"/>
        <v>-17.069152824878174</v>
      </c>
      <c r="G21" s="12">
        <v>91.829823217072516</v>
      </c>
      <c r="H21" s="23">
        <f t="shared" si="2"/>
        <v>-8.1701767829274843</v>
      </c>
    </row>
    <row r="22" spans="1:8" x14ac:dyDescent="0.3">
      <c r="A22" s="10" t="s">
        <v>24</v>
      </c>
      <c r="B22" s="13">
        <v>100</v>
      </c>
      <c r="C22" s="12">
        <v>92.802642860853396</v>
      </c>
      <c r="D22" s="12">
        <f t="shared" si="0"/>
        <v>-7.1973571391466038</v>
      </c>
      <c r="E22" s="12">
        <v>92.36997028379902</v>
      </c>
      <c r="F22" s="22">
        <f t="shared" si="1"/>
        <v>-7.6300297162009798</v>
      </c>
      <c r="G22" s="12">
        <v>99.392878366607334</v>
      </c>
      <c r="H22" s="23">
        <f t="shared" si="2"/>
        <v>-0.60712163339266567</v>
      </c>
    </row>
    <row r="23" spans="1:8" x14ac:dyDescent="0.3">
      <c r="A23" s="10" t="s">
        <v>46</v>
      </c>
      <c r="B23" s="13">
        <v>100</v>
      </c>
      <c r="C23" s="14">
        <v>83.59200787745597</v>
      </c>
      <c r="D23" s="12">
        <f t="shared" si="0"/>
        <v>-16.40799212254403</v>
      </c>
      <c r="E23" s="14">
        <v>87.008080268358768</v>
      </c>
      <c r="F23" s="22">
        <f t="shared" si="1"/>
        <v>-12.991919731641232</v>
      </c>
      <c r="G23" s="12">
        <v>94.85553604966961</v>
      </c>
      <c r="H23" s="23">
        <f t="shared" si="2"/>
        <v>-5.1444639503303904</v>
      </c>
    </row>
    <row r="24" spans="1:8" x14ac:dyDescent="0.3">
      <c r="A24" s="10" t="s">
        <v>44</v>
      </c>
      <c r="B24" s="13">
        <v>100</v>
      </c>
      <c r="C24" s="12">
        <v>77.558170718233399</v>
      </c>
      <c r="D24" s="12">
        <f t="shared" si="0"/>
        <v>-22.441829281766601</v>
      </c>
      <c r="E24" s="12">
        <v>82.889854018095548</v>
      </c>
      <c r="F24" s="22">
        <f t="shared" si="1"/>
        <v>-17.110145981904452</v>
      </c>
      <c r="G24" s="12">
        <v>91.817373477061963</v>
      </c>
      <c r="H24" s="23">
        <f t="shared" si="2"/>
        <v>-8.1826265229380368</v>
      </c>
    </row>
    <row r="25" spans="1:8" x14ac:dyDescent="0.3">
      <c r="A25" s="10" t="s">
        <v>32</v>
      </c>
      <c r="B25" s="12">
        <v>85.784933072770272</v>
      </c>
      <c r="C25" s="13">
        <v>100</v>
      </c>
      <c r="D25" s="12">
        <f t="shared" si="0"/>
        <v>14.215066927229728</v>
      </c>
      <c r="E25" s="12">
        <v>94.45340733889698</v>
      </c>
      <c r="F25" s="22">
        <f t="shared" si="1"/>
        <v>8.668474266126708</v>
      </c>
      <c r="G25" s="12">
        <v>95.15247742453468</v>
      </c>
      <c r="H25" s="23">
        <f t="shared" si="2"/>
        <v>9.3675443517644084</v>
      </c>
    </row>
    <row r="26" spans="1:8" x14ac:dyDescent="0.3">
      <c r="A26" s="10" t="s">
        <v>53</v>
      </c>
      <c r="B26" s="13">
        <v>100</v>
      </c>
      <c r="C26" s="12">
        <v>80.720417058526877</v>
      </c>
      <c r="D26" s="12">
        <f t="shared" si="0"/>
        <v>-19.279582941473123</v>
      </c>
      <c r="E26" s="12">
        <v>84.806305297192722</v>
      </c>
      <c r="F26" s="22">
        <f t="shared" si="1"/>
        <v>-15.193694702807278</v>
      </c>
      <c r="G26" s="12">
        <v>93.236579240232516</v>
      </c>
      <c r="H26" s="23">
        <f t="shared" si="2"/>
        <v>-6.7634207597674845</v>
      </c>
    </row>
    <row r="46" spans="1:4" x14ac:dyDescent="0.3">
      <c r="A46" s="11" t="s">
        <v>148</v>
      </c>
      <c r="B46" s="10" t="s">
        <v>166</v>
      </c>
      <c r="C46" s="10" t="s">
        <v>167</v>
      </c>
      <c r="D46" s="10" t="s">
        <v>168</v>
      </c>
    </row>
    <row r="47" spans="1:4" x14ac:dyDescent="0.3">
      <c r="A47" s="10" t="s">
        <v>18</v>
      </c>
      <c r="B47" s="10">
        <v>-18.357727290886999</v>
      </c>
      <c r="C47" s="10">
        <v>-14.653951117725995</v>
      </c>
      <c r="D47" s="10">
        <v>-6.3965049499169879</v>
      </c>
    </row>
    <row r="48" spans="1:4" x14ac:dyDescent="0.3">
      <c r="A48" s="10" t="s">
        <v>66</v>
      </c>
      <c r="B48" s="10">
        <v>-21.218848767452869</v>
      </c>
      <c r="C48" s="10">
        <v>-16.317870556808927</v>
      </c>
      <c r="D48" s="10">
        <v>-7.685733897652085</v>
      </c>
    </row>
    <row r="49" spans="1:4" x14ac:dyDescent="0.3">
      <c r="A49" s="10" t="s">
        <v>47</v>
      </c>
      <c r="B49" s="10">
        <v>-16.26951447839204</v>
      </c>
      <c r="C49" s="10">
        <v>-13.271435482842691</v>
      </c>
      <c r="D49" s="10">
        <v>-5.3949776443173221</v>
      </c>
    </row>
    <row r="50" spans="1:4" x14ac:dyDescent="0.3">
      <c r="A50" s="10" t="s">
        <v>45</v>
      </c>
      <c r="B50" s="10">
        <v>-11.98014662237658</v>
      </c>
      <c r="C50" s="10">
        <v>-10.484687227279764</v>
      </c>
      <c r="D50" s="10">
        <v>-2.064538210779304</v>
      </c>
    </row>
    <row r="51" spans="1:4" x14ac:dyDescent="0.3">
      <c r="A51" s="10" t="s">
        <v>15</v>
      </c>
      <c r="B51" s="10">
        <v>-6.6341511244454807</v>
      </c>
      <c r="C51" s="10">
        <v>-5.2192705034733109</v>
      </c>
      <c r="D51" s="10">
        <v>-0.99169671672737536</v>
      </c>
    </row>
    <row r="52" spans="1:4" x14ac:dyDescent="0.3">
      <c r="A52" s="10" t="s">
        <v>56</v>
      </c>
      <c r="B52" s="10">
        <v>0.34937939925977446</v>
      </c>
      <c r="C52" s="10">
        <v>-2.2916717270625924</v>
      </c>
      <c r="D52" s="10">
        <v>4.6295290461121681</v>
      </c>
    </row>
    <row r="53" spans="1:4" x14ac:dyDescent="0.3">
      <c r="A53" s="10" t="s">
        <v>26</v>
      </c>
      <c r="B53" s="10">
        <v>-13.755518419833152</v>
      </c>
      <c r="C53" s="10">
        <v>-11.516829162226969</v>
      </c>
      <c r="D53" s="10">
        <v>-4.1094762743075393</v>
      </c>
    </row>
    <row r="54" spans="1:4" x14ac:dyDescent="0.3">
      <c r="A54" s="10" t="s">
        <v>31</v>
      </c>
      <c r="B54" s="10">
        <v>-13.10433164565643</v>
      </c>
      <c r="C54" s="10">
        <v>-11.171857052710735</v>
      </c>
      <c r="D54" s="10">
        <v>-3.8601066696732289</v>
      </c>
    </row>
    <row r="55" spans="1:4" x14ac:dyDescent="0.3">
      <c r="A55" s="10" t="s">
        <v>64</v>
      </c>
      <c r="B55" s="10">
        <v>-4.9717568070605722</v>
      </c>
      <c r="C55" s="10">
        <v>31.063207584254172</v>
      </c>
      <c r="D55" s="10">
        <v>35.159557028318531</v>
      </c>
    </row>
    <row r="56" spans="1:4" x14ac:dyDescent="0.3">
      <c r="A56" s="10" t="s">
        <v>6</v>
      </c>
      <c r="B56" s="10">
        <v>-5.8570221636964419</v>
      </c>
      <c r="C56" s="10">
        <v>-6.2476534183746395</v>
      </c>
      <c r="D56" s="10">
        <v>1.1746138277241442</v>
      </c>
    </row>
    <row r="57" spans="1:4" x14ac:dyDescent="0.3">
      <c r="A57" s="10" t="s">
        <v>14</v>
      </c>
      <c r="B57" s="10">
        <v>-6.138762463155544</v>
      </c>
      <c r="C57" s="10">
        <v>-6.422164837608122</v>
      </c>
      <c r="D57" s="10">
        <v>1.0633541964722895</v>
      </c>
    </row>
    <row r="58" spans="1:4" x14ac:dyDescent="0.3">
      <c r="A58" s="10" t="s">
        <v>50</v>
      </c>
      <c r="B58" s="10">
        <v>-24.351617508241148</v>
      </c>
      <c r="C58" s="10">
        <v>-18.434585703061202</v>
      </c>
      <c r="D58" s="10">
        <v>-9.0631113124311327</v>
      </c>
    </row>
    <row r="59" spans="1:4" x14ac:dyDescent="0.3">
      <c r="A59" s="10" t="s">
        <v>7</v>
      </c>
      <c r="B59" s="10">
        <v>-22.475783324841146</v>
      </c>
      <c r="C59" s="10">
        <v>-17.069152824878174</v>
      </c>
      <c r="D59" s="10">
        <v>-8.1701767829274843</v>
      </c>
    </row>
    <row r="60" spans="1:4" x14ac:dyDescent="0.3">
      <c r="A60" s="10" t="s">
        <v>24</v>
      </c>
      <c r="B60" s="10">
        <v>-7.1973571391466038</v>
      </c>
      <c r="C60" s="10">
        <v>-7.6300297162009798</v>
      </c>
      <c r="D60" s="10">
        <v>-0.60712163339266567</v>
      </c>
    </row>
    <row r="61" spans="1:4" x14ac:dyDescent="0.3">
      <c r="A61" s="10" t="s">
        <v>46</v>
      </c>
      <c r="B61" s="10">
        <v>-16.40799212254403</v>
      </c>
      <c r="C61" s="10">
        <v>-12.991919731641232</v>
      </c>
      <c r="D61" s="10">
        <v>-5.1444639503303904</v>
      </c>
    </row>
    <row r="62" spans="1:4" x14ac:dyDescent="0.3">
      <c r="A62" s="10" t="s">
        <v>44</v>
      </c>
      <c r="B62" s="10">
        <v>-22.441829281766601</v>
      </c>
      <c r="C62" s="10">
        <v>-17.110145981904452</v>
      </c>
      <c r="D62" s="10">
        <v>-8.1826265229380368</v>
      </c>
    </row>
    <row r="63" spans="1:4" x14ac:dyDescent="0.3">
      <c r="A63" s="10" t="s">
        <v>32</v>
      </c>
      <c r="B63" s="10">
        <v>14.215066927229728</v>
      </c>
      <c r="C63" s="10">
        <v>8.668474266126708</v>
      </c>
      <c r="D63" s="10">
        <v>9.3675443517644084</v>
      </c>
    </row>
    <row r="64" spans="1:4" x14ac:dyDescent="0.3">
      <c r="A64" s="10" t="s">
        <v>53</v>
      </c>
      <c r="B64" s="10">
        <v>-19.279582941473123</v>
      </c>
      <c r="C64" s="10">
        <v>-15.193694702807278</v>
      </c>
      <c r="D64" s="10">
        <v>-6.7634207597674845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7" workbookViewId="0">
      <selection activeCell="A10" sqref="A10"/>
    </sheetView>
  </sheetViews>
  <sheetFormatPr defaultRowHeight="13.2" x14ac:dyDescent="0.25"/>
  <cols>
    <col min="1" max="1" width="41.88671875" style="7" customWidth="1"/>
    <col min="2" max="16384" width="8.88671875" style="7"/>
  </cols>
  <sheetData>
    <row r="1" spans="1:6" x14ac:dyDescent="0.25">
      <c r="A1" s="7" t="s">
        <v>272</v>
      </c>
      <c r="B1" s="7" t="s">
        <v>271</v>
      </c>
    </row>
    <row r="3" spans="1:6" x14ac:dyDescent="0.25">
      <c r="A3" s="7" t="s">
        <v>270</v>
      </c>
    </row>
    <row r="4" spans="1:6" x14ac:dyDescent="0.25">
      <c r="A4" s="7" t="s">
        <v>30</v>
      </c>
      <c r="B4" s="7">
        <v>11</v>
      </c>
      <c r="C4" s="7" t="s">
        <v>269</v>
      </c>
      <c r="D4" s="7" t="s">
        <v>211</v>
      </c>
      <c r="E4" s="7" t="s">
        <v>211</v>
      </c>
      <c r="F4" s="7" t="s">
        <v>211</v>
      </c>
    </row>
    <row r="5" spans="1:6" x14ac:dyDescent="0.25">
      <c r="A5" s="7" t="s">
        <v>77</v>
      </c>
      <c r="B5" s="7">
        <v>11.03</v>
      </c>
      <c r="C5" s="7" t="s">
        <v>266</v>
      </c>
      <c r="D5" s="7" t="s">
        <v>211</v>
      </c>
      <c r="E5" s="7" t="s">
        <v>211</v>
      </c>
      <c r="F5" s="7" t="s">
        <v>211</v>
      </c>
    </row>
    <row r="6" spans="1:6" x14ac:dyDescent="0.25">
      <c r="A6" s="7" t="s">
        <v>4</v>
      </c>
      <c r="B6" s="7">
        <v>0.04</v>
      </c>
      <c r="C6" s="7" t="s">
        <v>266</v>
      </c>
      <c r="D6" s="7" t="s">
        <v>211</v>
      </c>
      <c r="E6" s="7" t="s">
        <v>211</v>
      </c>
      <c r="F6" s="7" t="s">
        <v>211</v>
      </c>
    </row>
    <row r="7" spans="1:6" x14ac:dyDescent="0.25">
      <c r="A7" s="7" t="s">
        <v>11</v>
      </c>
      <c r="B7" s="7">
        <v>1.909</v>
      </c>
      <c r="C7" s="7" t="s">
        <v>266</v>
      </c>
      <c r="D7" s="7" t="s">
        <v>211</v>
      </c>
      <c r="E7" s="7" t="s">
        <v>211</v>
      </c>
      <c r="F7" s="7" t="s">
        <v>211</v>
      </c>
    </row>
    <row r="8" spans="1:6" x14ac:dyDescent="0.25">
      <c r="A8" s="7" t="s">
        <v>51</v>
      </c>
      <c r="B8" s="7">
        <v>12.49</v>
      </c>
      <c r="C8" s="7" t="s">
        <v>266</v>
      </c>
      <c r="D8" s="7" t="s">
        <v>211</v>
      </c>
      <c r="E8" s="7" t="s">
        <v>211</v>
      </c>
      <c r="F8" s="7" t="s">
        <v>211</v>
      </c>
    </row>
    <row r="9" spans="1:6" x14ac:dyDescent="0.25">
      <c r="A9" s="7" t="s">
        <v>9</v>
      </c>
      <c r="B9" s="7">
        <v>6.7720000000000002</v>
      </c>
      <c r="C9" s="7" t="s">
        <v>266</v>
      </c>
      <c r="D9" s="7" t="s">
        <v>211</v>
      </c>
      <c r="E9" s="7" t="s">
        <v>211</v>
      </c>
      <c r="F9" s="7" t="s">
        <v>211</v>
      </c>
    </row>
    <row r="10" spans="1:6" x14ac:dyDescent="0.25">
      <c r="A10" s="7" t="s">
        <v>12</v>
      </c>
      <c r="B10" s="7">
        <v>1.734</v>
      </c>
      <c r="C10" s="7" t="s">
        <v>266</v>
      </c>
      <c r="D10" s="7" t="s">
        <v>211</v>
      </c>
      <c r="E10" s="7" t="s">
        <v>211</v>
      </c>
      <c r="F10" s="7" t="s">
        <v>211</v>
      </c>
    </row>
    <row r="11" spans="1:6" x14ac:dyDescent="0.25">
      <c r="A11" s="7" t="s">
        <v>12</v>
      </c>
      <c r="B11" s="7">
        <v>3.4660000000000002</v>
      </c>
      <c r="C11" s="7" t="s">
        <v>266</v>
      </c>
      <c r="D11" s="7" t="s">
        <v>211</v>
      </c>
      <c r="E11" s="7" t="s">
        <v>211</v>
      </c>
      <c r="F11" s="7" t="s">
        <v>211</v>
      </c>
    </row>
    <row r="12" spans="1:6" x14ac:dyDescent="0.25">
      <c r="A12" s="7" t="s">
        <v>25</v>
      </c>
      <c r="B12" s="7">
        <v>0.66800000000000004</v>
      </c>
      <c r="C12" s="7" t="s">
        <v>266</v>
      </c>
      <c r="D12" s="7" t="s">
        <v>211</v>
      </c>
      <c r="E12" s="7" t="s">
        <v>211</v>
      </c>
      <c r="F12" s="7" t="s">
        <v>211</v>
      </c>
    </row>
    <row r="13" spans="1:6" x14ac:dyDescent="0.25">
      <c r="A13" s="7" t="s">
        <v>76</v>
      </c>
      <c r="B13" s="7">
        <v>0</v>
      </c>
      <c r="C13" s="7" t="s">
        <v>266</v>
      </c>
      <c r="D13" s="7" t="s">
        <v>211</v>
      </c>
      <c r="E13" s="7" t="s">
        <v>211</v>
      </c>
      <c r="F13" s="7" t="s">
        <v>211</v>
      </c>
    </row>
    <row r="14" spans="1:6" x14ac:dyDescent="0.25">
      <c r="A14" s="7" t="s">
        <v>57</v>
      </c>
      <c r="B14" s="7">
        <v>2.3E-2</v>
      </c>
      <c r="C14" s="7" t="s">
        <v>266</v>
      </c>
      <c r="D14" s="7" t="s">
        <v>211</v>
      </c>
      <c r="E14" s="7" t="s">
        <v>211</v>
      </c>
      <c r="F14" s="7" t="s">
        <v>211</v>
      </c>
    </row>
    <row r="15" spans="1:6" x14ac:dyDescent="0.25">
      <c r="A15" s="7" t="s">
        <v>36</v>
      </c>
      <c r="B15" s="7">
        <v>1.7470000000000001</v>
      </c>
      <c r="C15" s="7" t="s">
        <v>266</v>
      </c>
      <c r="D15" s="7" t="s">
        <v>211</v>
      </c>
      <c r="E15" s="7" t="s">
        <v>211</v>
      </c>
      <c r="F15" s="7" t="s">
        <v>211</v>
      </c>
    </row>
    <row r="16" spans="1:6" x14ac:dyDescent="0.25">
      <c r="A16" s="7" t="s">
        <v>37</v>
      </c>
      <c r="B16" s="7">
        <v>0.13900000000000001</v>
      </c>
      <c r="C16" s="7" t="s">
        <v>266</v>
      </c>
      <c r="D16" s="7" t="s">
        <v>211</v>
      </c>
      <c r="E16" s="7" t="s">
        <v>211</v>
      </c>
      <c r="F16" s="7" t="s">
        <v>211</v>
      </c>
    </row>
    <row r="17" spans="1:6" x14ac:dyDescent="0.25">
      <c r="A17" s="7" t="s">
        <v>71</v>
      </c>
      <c r="B17" s="7">
        <v>0.13600000000000001</v>
      </c>
      <c r="C17" s="7" t="s">
        <v>266</v>
      </c>
      <c r="D17" s="7" t="s">
        <v>211</v>
      </c>
      <c r="E17" s="7" t="s">
        <v>211</v>
      </c>
      <c r="F17" s="7" t="s">
        <v>211</v>
      </c>
    </row>
    <row r="18" spans="1:6" x14ac:dyDescent="0.25">
      <c r="A18" s="7" t="s">
        <v>75</v>
      </c>
      <c r="B18" s="7">
        <v>0.221</v>
      </c>
      <c r="C18" s="7" t="s">
        <v>266</v>
      </c>
      <c r="D18" s="7" t="s">
        <v>211</v>
      </c>
      <c r="E18" s="7" t="s">
        <v>211</v>
      </c>
      <c r="F18" s="7" t="s">
        <v>211</v>
      </c>
    </row>
    <row r="19" spans="1:6" x14ac:dyDescent="0.25">
      <c r="A19" s="7" t="s">
        <v>74</v>
      </c>
      <c r="B19" s="7">
        <v>8.5000000000000006E-2</v>
      </c>
      <c r="C19" s="7" t="s">
        <v>266</v>
      </c>
      <c r="D19" s="7" t="s">
        <v>211</v>
      </c>
      <c r="E19" s="7" t="s">
        <v>211</v>
      </c>
      <c r="F19" s="7" t="s">
        <v>211</v>
      </c>
    </row>
    <row r="20" spans="1:6" x14ac:dyDescent="0.25">
      <c r="A20" s="7" t="s">
        <v>1</v>
      </c>
      <c r="B20" s="7">
        <v>4.9560000000000004</v>
      </c>
      <c r="C20" s="7" t="s">
        <v>266</v>
      </c>
      <c r="D20" s="7" t="s">
        <v>211</v>
      </c>
      <c r="E20" s="7" t="s">
        <v>211</v>
      </c>
      <c r="F20" s="7" t="s">
        <v>211</v>
      </c>
    </row>
    <row r="21" spans="1:6" x14ac:dyDescent="0.25">
      <c r="A21" s="7" t="s">
        <v>80</v>
      </c>
      <c r="B21" s="7">
        <v>0</v>
      </c>
      <c r="C21" s="7" t="s">
        <v>266</v>
      </c>
      <c r="D21" s="7" t="s">
        <v>211</v>
      </c>
      <c r="E21" s="7" t="s">
        <v>211</v>
      </c>
      <c r="F21" s="7" t="s">
        <v>211</v>
      </c>
    </row>
    <row r="22" spans="1:6" x14ac:dyDescent="0.25">
      <c r="A22" s="7" t="s">
        <v>35</v>
      </c>
      <c r="B22" s="7">
        <v>0.3</v>
      </c>
      <c r="C22" s="7" t="s">
        <v>266</v>
      </c>
      <c r="D22" s="7" t="s">
        <v>211</v>
      </c>
      <c r="E22" s="7" t="s">
        <v>211</v>
      </c>
      <c r="F22" s="7" t="s">
        <v>298</v>
      </c>
    </row>
    <row r="24" spans="1:6" x14ac:dyDescent="0.25">
      <c r="A24" s="7" t="s">
        <v>268</v>
      </c>
    </row>
    <row r="25" spans="1:6" x14ac:dyDescent="0.25">
      <c r="A25" s="7" t="s">
        <v>2</v>
      </c>
      <c r="B25" s="7">
        <v>5</v>
      </c>
      <c r="C25" s="7" t="s">
        <v>267</v>
      </c>
      <c r="D25" s="7" t="s">
        <v>211</v>
      </c>
      <c r="E25" s="7" t="s">
        <v>211</v>
      </c>
      <c r="F25" s="7" t="s">
        <v>211</v>
      </c>
    </row>
    <row r="26" spans="1:6" x14ac:dyDescent="0.25">
      <c r="A26" s="7" t="s">
        <v>63</v>
      </c>
      <c r="B26" s="7">
        <v>45.66</v>
      </c>
      <c r="C26" s="7" t="s">
        <v>266</v>
      </c>
      <c r="D26" s="7" t="s">
        <v>211</v>
      </c>
      <c r="E26" s="7" t="s">
        <v>211</v>
      </c>
      <c r="F26" s="7" t="s">
        <v>211</v>
      </c>
    </row>
    <row r="29" spans="1:6" x14ac:dyDescent="0.25">
      <c r="A29" s="7" t="s">
        <v>274</v>
      </c>
    </row>
    <row r="30" spans="1:6" x14ac:dyDescent="0.25">
      <c r="A30" s="7" t="s">
        <v>8</v>
      </c>
      <c r="B30" s="7">
        <v>17.989999999999998</v>
      </c>
      <c r="C30" s="7" t="s">
        <v>266</v>
      </c>
    </row>
    <row r="31" spans="1:6" x14ac:dyDescent="0.25">
      <c r="A31" s="7" t="s">
        <v>51</v>
      </c>
      <c r="B31" s="7">
        <v>11.77</v>
      </c>
      <c r="C31" s="7" t="s">
        <v>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workbookViewId="0">
      <selection activeCell="A30" sqref="A30:C30"/>
    </sheetView>
  </sheetViews>
  <sheetFormatPr defaultRowHeight="13.2" x14ac:dyDescent="0.25"/>
  <cols>
    <col min="1" max="1" width="41.77734375" style="7" customWidth="1"/>
    <col min="2" max="16384" width="8.88671875" style="7"/>
  </cols>
  <sheetData>
    <row r="1" spans="1:6" x14ac:dyDescent="0.25">
      <c r="A1" s="7" t="s">
        <v>211</v>
      </c>
      <c r="B1" s="7" t="s">
        <v>271</v>
      </c>
    </row>
    <row r="3" spans="1:6" x14ac:dyDescent="0.25">
      <c r="A3" s="7" t="s">
        <v>270</v>
      </c>
    </row>
    <row r="4" spans="1:6" x14ac:dyDescent="0.25">
      <c r="A4" s="7" t="s">
        <v>30</v>
      </c>
      <c r="B4" s="7">
        <v>8</v>
      </c>
      <c r="C4" s="7" t="s">
        <v>269</v>
      </c>
      <c r="D4" s="7" t="s">
        <v>211</v>
      </c>
      <c r="E4" s="7" t="s">
        <v>211</v>
      </c>
      <c r="F4" s="7" t="s">
        <v>211</v>
      </c>
    </row>
    <row r="5" spans="1:6" x14ac:dyDescent="0.25">
      <c r="A5" s="7" t="s">
        <v>51</v>
      </c>
      <c r="B5" s="7">
        <v>25.27</v>
      </c>
      <c r="C5" s="7" t="s">
        <v>266</v>
      </c>
      <c r="D5" s="7" t="s">
        <v>211</v>
      </c>
      <c r="E5" s="7" t="s">
        <v>211</v>
      </c>
      <c r="F5" s="7" t="s">
        <v>211</v>
      </c>
    </row>
    <row r="6" spans="1:6" x14ac:dyDescent="0.25">
      <c r="A6" s="7" t="s">
        <v>9</v>
      </c>
      <c r="B6" s="7">
        <v>2.2770000000000001</v>
      </c>
      <c r="C6" s="7" t="s">
        <v>266</v>
      </c>
      <c r="D6" s="7" t="s">
        <v>211</v>
      </c>
      <c r="E6" s="7" t="s">
        <v>211</v>
      </c>
      <c r="F6" s="7" t="s">
        <v>211</v>
      </c>
    </row>
    <row r="7" spans="1:6" x14ac:dyDescent="0.25">
      <c r="A7" s="7" t="s">
        <v>11</v>
      </c>
      <c r="B7" s="7">
        <v>1.9</v>
      </c>
      <c r="C7" s="7" t="s">
        <v>266</v>
      </c>
      <c r="D7" s="7" t="s">
        <v>211</v>
      </c>
      <c r="E7" s="7" t="s">
        <v>211</v>
      </c>
      <c r="F7" s="7" t="s">
        <v>211</v>
      </c>
    </row>
    <row r="8" spans="1:6" x14ac:dyDescent="0.25">
      <c r="A8" s="7" t="s">
        <v>4</v>
      </c>
      <c r="B8" s="7">
        <v>0.04</v>
      </c>
      <c r="C8" s="7" t="s">
        <v>266</v>
      </c>
      <c r="D8" s="7" t="s">
        <v>211</v>
      </c>
      <c r="E8" s="7" t="s">
        <v>211</v>
      </c>
      <c r="F8" s="7" t="s">
        <v>211</v>
      </c>
    </row>
    <row r="9" spans="1:6" x14ac:dyDescent="0.25">
      <c r="A9" s="7" t="s">
        <v>12</v>
      </c>
      <c r="B9" s="7">
        <v>6.32</v>
      </c>
      <c r="C9" s="7" t="s">
        <v>266</v>
      </c>
      <c r="D9" s="7" t="s">
        <v>211</v>
      </c>
      <c r="E9" s="7" t="s">
        <v>211</v>
      </c>
      <c r="F9" s="7" t="s">
        <v>211</v>
      </c>
    </row>
    <row r="10" spans="1:6" x14ac:dyDescent="0.25">
      <c r="A10" s="7" t="s">
        <v>12</v>
      </c>
      <c r="B10" s="7">
        <v>1.927</v>
      </c>
      <c r="C10" s="7" t="s">
        <v>266</v>
      </c>
      <c r="D10" s="7" t="s">
        <v>211</v>
      </c>
      <c r="E10" s="7" t="s">
        <v>211</v>
      </c>
      <c r="F10" s="7" t="s">
        <v>211</v>
      </c>
    </row>
    <row r="11" spans="1:6" x14ac:dyDescent="0.25">
      <c r="A11" s="7" t="s">
        <v>25</v>
      </c>
      <c r="B11" s="7">
        <v>0.91300000000000003</v>
      </c>
      <c r="C11" s="7" t="s">
        <v>266</v>
      </c>
      <c r="D11" s="7" t="s">
        <v>211</v>
      </c>
      <c r="E11" s="7" t="s">
        <v>211</v>
      </c>
      <c r="F11" s="7" t="s">
        <v>211</v>
      </c>
    </row>
    <row r="12" spans="1:6" x14ac:dyDescent="0.25">
      <c r="A12" s="7" t="s">
        <v>76</v>
      </c>
      <c r="B12" s="7">
        <v>0</v>
      </c>
      <c r="C12" s="7" t="s">
        <v>266</v>
      </c>
      <c r="D12" s="7" t="s">
        <v>211</v>
      </c>
      <c r="E12" s="7" t="s">
        <v>211</v>
      </c>
      <c r="F12" s="7" t="s">
        <v>211</v>
      </c>
    </row>
    <row r="13" spans="1:6" x14ac:dyDescent="0.25">
      <c r="A13" s="7" t="s">
        <v>57</v>
      </c>
      <c r="B13" s="7">
        <v>0.115</v>
      </c>
      <c r="C13" s="7" t="s">
        <v>266</v>
      </c>
      <c r="D13" s="7" t="s">
        <v>211</v>
      </c>
      <c r="E13" s="7" t="s">
        <v>211</v>
      </c>
      <c r="F13" s="7" t="s">
        <v>211</v>
      </c>
    </row>
    <row r="14" spans="1:6" x14ac:dyDescent="0.25">
      <c r="A14" s="7" t="s">
        <v>36</v>
      </c>
      <c r="B14" s="7">
        <v>4.92</v>
      </c>
      <c r="C14" s="7" t="s">
        <v>266</v>
      </c>
      <c r="D14" s="7" t="s">
        <v>211</v>
      </c>
      <c r="E14" s="7" t="s">
        <v>211</v>
      </c>
      <c r="F14" s="7" t="s">
        <v>211</v>
      </c>
    </row>
    <row r="15" spans="1:6" x14ac:dyDescent="0.25">
      <c r="A15" s="7" t="s">
        <v>37</v>
      </c>
      <c r="B15" s="7">
        <v>0.222</v>
      </c>
      <c r="C15" s="7" t="s">
        <v>266</v>
      </c>
      <c r="D15" s="7" t="s">
        <v>211</v>
      </c>
      <c r="E15" s="7" t="s">
        <v>211</v>
      </c>
      <c r="F15" s="7" t="s">
        <v>211</v>
      </c>
    </row>
    <row r="16" spans="1:6" x14ac:dyDescent="0.25">
      <c r="A16" s="7" t="s">
        <v>71</v>
      </c>
      <c r="B16" s="7">
        <v>0.253</v>
      </c>
      <c r="C16" s="7" t="s">
        <v>266</v>
      </c>
      <c r="D16" s="7" t="s">
        <v>211</v>
      </c>
      <c r="E16" s="7" t="s">
        <v>211</v>
      </c>
      <c r="F16" s="7" t="s">
        <v>211</v>
      </c>
    </row>
    <row r="17" spans="1:6" x14ac:dyDescent="0.25">
      <c r="A17" s="7" t="s">
        <v>75</v>
      </c>
      <c r="B17" s="7">
        <v>0</v>
      </c>
      <c r="C17" s="7" t="s">
        <v>266</v>
      </c>
      <c r="D17" s="7" t="s">
        <v>211</v>
      </c>
      <c r="E17" s="7" t="s">
        <v>211</v>
      </c>
      <c r="F17" s="7" t="s">
        <v>211</v>
      </c>
    </row>
    <row r="18" spans="1:6" x14ac:dyDescent="0.25">
      <c r="A18" s="7" t="s">
        <v>81</v>
      </c>
      <c r="B18" s="7">
        <v>0</v>
      </c>
      <c r="C18" s="7" t="s">
        <v>266</v>
      </c>
      <c r="D18" s="7" t="s">
        <v>211</v>
      </c>
      <c r="E18" s="7" t="s">
        <v>211</v>
      </c>
      <c r="F18" s="7" t="s">
        <v>211</v>
      </c>
    </row>
    <row r="19" spans="1:6" x14ac:dyDescent="0.25">
      <c r="A19" s="7" t="s">
        <v>1</v>
      </c>
      <c r="B19" s="7">
        <v>2.6669999999999998</v>
      </c>
      <c r="C19" s="7" t="s">
        <v>266</v>
      </c>
      <c r="D19" s="7" t="s">
        <v>211</v>
      </c>
      <c r="E19" s="7" t="s">
        <v>211</v>
      </c>
      <c r="F19" s="7" t="s">
        <v>211</v>
      </c>
    </row>
    <row r="20" spans="1:6" x14ac:dyDescent="0.25">
      <c r="A20" s="7" t="s">
        <v>80</v>
      </c>
      <c r="B20" s="7">
        <v>0</v>
      </c>
      <c r="C20" s="7" t="s">
        <v>266</v>
      </c>
      <c r="D20" s="7" t="s">
        <v>211</v>
      </c>
      <c r="E20" s="7" t="s">
        <v>211</v>
      </c>
      <c r="F20" s="7" t="s">
        <v>211</v>
      </c>
    </row>
    <row r="21" spans="1:6" x14ac:dyDescent="0.25">
      <c r="A21" s="7" t="s">
        <v>35</v>
      </c>
      <c r="B21" s="7">
        <v>0.3</v>
      </c>
      <c r="C21" s="7" t="s">
        <v>266</v>
      </c>
      <c r="D21" s="7" t="s">
        <v>211</v>
      </c>
      <c r="E21" s="7" t="s">
        <v>211</v>
      </c>
      <c r="F21" s="7" t="s">
        <v>211</v>
      </c>
    </row>
    <row r="23" spans="1:6" x14ac:dyDescent="0.25">
      <c r="A23" s="7" t="s">
        <v>268</v>
      </c>
    </row>
    <row r="24" spans="1:6" x14ac:dyDescent="0.25">
      <c r="A24" s="7" t="s">
        <v>2</v>
      </c>
      <c r="B24" s="7">
        <v>5</v>
      </c>
      <c r="C24" s="7" t="s">
        <v>267</v>
      </c>
      <c r="D24" s="7" t="s">
        <v>211</v>
      </c>
      <c r="E24" s="7" t="s">
        <v>211</v>
      </c>
      <c r="F24" s="7" t="s">
        <v>211</v>
      </c>
    </row>
    <row r="25" spans="1:6" x14ac:dyDescent="0.25">
      <c r="A25" s="7" t="s">
        <v>63</v>
      </c>
      <c r="B25" s="7">
        <v>47.09</v>
      </c>
      <c r="C25" s="7" t="s">
        <v>266</v>
      </c>
      <c r="D25" s="7" t="s">
        <v>211</v>
      </c>
      <c r="E25" s="7" t="s">
        <v>211</v>
      </c>
      <c r="F25" s="7" t="s">
        <v>211</v>
      </c>
    </row>
    <row r="28" spans="1:6" x14ac:dyDescent="0.25">
      <c r="A28" s="7" t="s">
        <v>274</v>
      </c>
    </row>
    <row r="29" spans="1:6" x14ac:dyDescent="0.25">
      <c r="A29" s="7" t="s">
        <v>8</v>
      </c>
      <c r="B29" s="7">
        <v>17.989999999999998</v>
      </c>
      <c r="C29" s="7" t="s">
        <v>266</v>
      </c>
    </row>
    <row r="30" spans="1:6" x14ac:dyDescent="0.25">
      <c r="A30" s="7" t="s">
        <v>51</v>
      </c>
      <c r="B30" s="7">
        <v>6.915</v>
      </c>
      <c r="C30" s="7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workbookViewId="0">
      <selection activeCell="F27" sqref="F27"/>
    </sheetView>
  </sheetViews>
  <sheetFormatPr defaultRowHeight="14.4" x14ac:dyDescent="0.25"/>
  <cols>
    <col min="1" max="1" width="56.77734375" style="7" customWidth="1"/>
    <col min="2" max="16384" width="8.88671875" style="7"/>
  </cols>
  <sheetData>
    <row r="1" spans="1:3" s="7" customFormat="1" ht="13.2" x14ac:dyDescent="0.25">
      <c r="A1" s="7" t="s">
        <v>306</v>
      </c>
    </row>
    <row r="2" spans="1:3" s="7" customFormat="1" ht="13.2" x14ac:dyDescent="0.25"/>
    <row r="3" spans="1:3" s="7" customFormat="1" ht="13.2" x14ac:dyDescent="0.25">
      <c r="A3" s="35" t="s">
        <v>127</v>
      </c>
      <c r="B3" s="7">
        <v>1</v>
      </c>
      <c r="C3" s="7" t="s">
        <v>269</v>
      </c>
    </row>
    <row r="4" spans="1:3" s="7" customFormat="1" x14ac:dyDescent="0.25"/>
    <row r="5" spans="1:3" s="7" customFormat="1" ht="13.2" x14ac:dyDescent="0.25">
      <c r="A5" s="7" t="s">
        <v>270</v>
      </c>
    </row>
    <row r="6" spans="1:3" s="7" customFormat="1" ht="13.2" x14ac:dyDescent="0.25">
      <c r="A6" s="7" t="s">
        <v>105</v>
      </c>
      <c r="B6" s="7">
        <v>1.35E-2</v>
      </c>
      <c r="C6" s="7" t="s">
        <v>266</v>
      </c>
    </row>
    <row r="7" spans="1:3" s="7" customFormat="1" ht="13.2" x14ac:dyDescent="0.25">
      <c r="A7" s="7" t="s">
        <v>305</v>
      </c>
      <c r="B7" s="7">
        <v>5.5E-2</v>
      </c>
      <c r="C7" s="7" t="s">
        <v>266</v>
      </c>
    </row>
    <row r="8" spans="1:3" s="7" customFormat="1" ht="13.2" x14ac:dyDescent="0.25">
      <c r="A8" s="7" t="s">
        <v>304</v>
      </c>
      <c r="B8" s="7">
        <v>6.0000000000000002E-5</v>
      </c>
      <c r="C8" s="7" t="s">
        <v>266</v>
      </c>
    </row>
    <row r="9" spans="1:3" s="7" customFormat="1" ht="13.2" x14ac:dyDescent="0.25">
      <c r="A9" s="7" t="s">
        <v>303</v>
      </c>
      <c r="B9" s="7">
        <v>1.9599999999999999E-2</v>
      </c>
      <c r="C9" s="7" t="s">
        <v>266</v>
      </c>
    </row>
    <row r="10" spans="1:3" s="7" customFormat="1" ht="13.2" x14ac:dyDescent="0.25">
      <c r="A10" s="7" t="s">
        <v>80</v>
      </c>
      <c r="B10" s="7">
        <v>6.0000000000000002E-5</v>
      </c>
      <c r="C10" s="7" t="s">
        <v>266</v>
      </c>
    </row>
    <row r="11" spans="1:3" s="7" customFormat="1" ht="13.2" x14ac:dyDescent="0.25">
      <c r="A11" s="7" t="s">
        <v>89</v>
      </c>
      <c r="B11" s="7">
        <v>4.0000000000000003E-5</v>
      </c>
      <c r="C11" s="7" t="s">
        <v>266</v>
      </c>
    </row>
    <row r="12" spans="1:3" s="7" customFormat="1" x14ac:dyDescent="0.25"/>
    <row r="13" spans="1:3" s="7" customFormat="1" ht="13.2" x14ac:dyDescent="0.25">
      <c r="A13" s="7" t="s">
        <v>268</v>
      </c>
    </row>
    <row r="14" spans="1:3" s="7" customFormat="1" ht="13.2" x14ac:dyDescent="0.25">
      <c r="A14" s="7" t="s">
        <v>2</v>
      </c>
      <c r="B14" s="7">
        <v>0.03</v>
      </c>
      <c r="C14" s="7" t="s">
        <v>275</v>
      </c>
    </row>
    <row r="15" spans="1:3" s="7" customFormat="1" x14ac:dyDescent="0.25"/>
    <row r="16" spans="1:3" s="7" customFormat="1" ht="13.2" x14ac:dyDescent="0.25"/>
    <row r="17" spans="1:3" s="7" customFormat="1" ht="13.2" x14ac:dyDescent="0.25">
      <c r="A17" s="35" t="s">
        <v>302</v>
      </c>
      <c r="B17" s="7">
        <v>1</v>
      </c>
      <c r="C17" s="7" t="s">
        <v>269</v>
      </c>
    </row>
    <row r="18" spans="1:3" s="7" customFormat="1" ht="13.2" x14ac:dyDescent="0.25"/>
    <row r="19" spans="1:3" s="7" customFormat="1" ht="13.2" x14ac:dyDescent="0.25">
      <c r="A19" s="7" t="s">
        <v>270</v>
      </c>
    </row>
    <row r="20" spans="1:3" s="7" customFormat="1" ht="13.2" x14ac:dyDescent="0.25">
      <c r="A20" s="7" t="s">
        <v>105</v>
      </c>
      <c r="B20" s="7">
        <v>16.600000000000001</v>
      </c>
      <c r="C20" s="7" t="s">
        <v>266</v>
      </c>
    </row>
    <row r="21" spans="1:3" s="7" customFormat="1" ht="13.2" x14ac:dyDescent="0.25">
      <c r="A21" s="7" t="s">
        <v>301</v>
      </c>
      <c r="B21" s="7">
        <v>3.5</v>
      </c>
      <c r="C21" s="7" t="s">
        <v>299</v>
      </c>
    </row>
    <row r="22" spans="1:3" s="7" customFormat="1" ht="13.2" x14ac:dyDescent="0.25">
      <c r="A22" s="7" t="s">
        <v>107</v>
      </c>
      <c r="B22" s="7">
        <v>0.83</v>
      </c>
      <c r="C22" s="7" t="s">
        <v>299</v>
      </c>
    </row>
    <row r="23" spans="1:3" s="7" customFormat="1" ht="13.2" x14ac:dyDescent="0.25">
      <c r="A23" s="7" t="s">
        <v>108</v>
      </c>
      <c r="B23" s="7">
        <v>105.3</v>
      </c>
      <c r="C23" s="7" t="s">
        <v>299</v>
      </c>
    </row>
    <row r="24" spans="1:3" s="7" customFormat="1" ht="13.2" x14ac:dyDescent="0.25"/>
    <row r="25" spans="1:3" s="7" customFormat="1" ht="13.2" x14ac:dyDescent="0.25">
      <c r="A25" s="7" t="s">
        <v>268</v>
      </c>
    </row>
    <row r="26" spans="1:3" s="7" customFormat="1" ht="13.2" x14ac:dyDescent="0.25">
      <c r="A26" s="7" t="s">
        <v>2</v>
      </c>
      <c r="B26" s="7">
        <v>18.3</v>
      </c>
      <c r="C26" s="7" t="s">
        <v>275</v>
      </c>
    </row>
    <row r="27" spans="1:3" s="7" customFormat="1" x14ac:dyDescent="0.25"/>
    <row r="28" spans="1:3" s="7" customFormat="1" ht="13.2" x14ac:dyDescent="0.25">
      <c r="A28" s="35" t="s">
        <v>300</v>
      </c>
    </row>
    <row r="29" spans="1:3" s="7" customFormat="1" ht="13.2" x14ac:dyDescent="0.25"/>
    <row r="30" spans="1:3" s="7" customFormat="1" ht="13.2" x14ac:dyDescent="0.25">
      <c r="A30" s="7" t="s">
        <v>270</v>
      </c>
    </row>
    <row r="31" spans="1:3" s="7" customFormat="1" ht="13.2" x14ac:dyDescent="0.25">
      <c r="A31" s="7" t="s">
        <v>110</v>
      </c>
      <c r="B31" s="7">
        <v>467</v>
      </c>
      <c r="C31" s="7" t="s">
        <v>266</v>
      </c>
    </row>
    <row r="32" spans="1:3" s="7" customFormat="1" ht="13.2" x14ac:dyDescent="0.25">
      <c r="A32" s="7" t="s">
        <v>111</v>
      </c>
      <c r="B32" s="7">
        <v>0.28999999999999998</v>
      </c>
      <c r="C32" s="7" t="s">
        <v>266</v>
      </c>
    </row>
    <row r="33" spans="1:3" s="7" customFormat="1" ht="13.2" x14ac:dyDescent="0.25">
      <c r="A33" s="7" t="s">
        <v>112</v>
      </c>
      <c r="B33" s="7">
        <v>115</v>
      </c>
      <c r="C33" s="7" t="s">
        <v>266</v>
      </c>
    </row>
    <row r="34" spans="1:3" s="7" customFormat="1" ht="13.2" x14ac:dyDescent="0.25">
      <c r="A34" s="7" t="s">
        <v>113</v>
      </c>
      <c r="B34" s="7">
        <v>282</v>
      </c>
      <c r="C34" s="7" t="s">
        <v>266</v>
      </c>
    </row>
    <row r="35" spans="1:3" s="7" customFormat="1" ht="13.2" x14ac:dyDescent="0.25">
      <c r="A35" s="7" t="s">
        <v>114</v>
      </c>
      <c r="B35" s="7">
        <v>136</v>
      </c>
      <c r="C35" s="7" t="s">
        <v>266</v>
      </c>
    </row>
    <row r="36" spans="1:3" s="7" customFormat="1" ht="13.2" x14ac:dyDescent="0.25">
      <c r="A36" s="7" t="s">
        <v>115</v>
      </c>
      <c r="B36" s="7">
        <v>5527</v>
      </c>
      <c r="C36" s="7" t="s">
        <v>266</v>
      </c>
    </row>
    <row r="37" spans="1:3" s="7" customFormat="1" ht="13.2" x14ac:dyDescent="0.25">
      <c r="A37" s="7" t="s">
        <v>116</v>
      </c>
      <c r="B37" s="7">
        <v>447</v>
      </c>
      <c r="C37" s="7" t="s">
        <v>266</v>
      </c>
    </row>
    <row r="38" spans="1:3" s="7" customFormat="1" ht="13.2" x14ac:dyDescent="0.25">
      <c r="A38" s="7" t="s">
        <v>117</v>
      </c>
      <c r="B38" s="7">
        <v>2.2999999999999998</v>
      </c>
      <c r="C38" s="7" t="s">
        <v>299</v>
      </c>
    </row>
    <row r="39" spans="1:3" s="7" customFormat="1" ht="13.2" x14ac:dyDescent="0.25">
      <c r="A39" s="7" t="s">
        <v>112</v>
      </c>
      <c r="B39" s="7">
        <v>19</v>
      </c>
      <c r="C39" s="7" t="s">
        <v>266</v>
      </c>
    </row>
    <row r="40" spans="1:3" s="7" customFormat="1" ht="13.2" x14ac:dyDescent="0.25">
      <c r="A40" s="7" t="s">
        <v>118</v>
      </c>
      <c r="B40" s="7">
        <v>13</v>
      </c>
      <c r="C40" s="7" t="s">
        <v>266</v>
      </c>
    </row>
    <row r="41" spans="1:3" s="7" customFormat="1" ht="13.2" x14ac:dyDescent="0.25">
      <c r="A41" s="7" t="s">
        <v>119</v>
      </c>
      <c r="B41" s="7">
        <v>0.24199999999999999</v>
      </c>
      <c r="C41" s="7" t="s">
        <v>266</v>
      </c>
    </row>
    <row r="42" spans="1:3" s="7" customFormat="1" ht="13.2" x14ac:dyDescent="0.25">
      <c r="A42" s="7" t="s">
        <v>107</v>
      </c>
      <c r="B42" s="7">
        <v>2.2999999999999998</v>
      </c>
      <c r="C42" s="7" t="s">
        <v>299</v>
      </c>
    </row>
    <row r="43" spans="1:3" s="7" customFormat="1" ht="13.2" x14ac:dyDescent="0.25">
      <c r="A43" s="7" t="s">
        <v>120</v>
      </c>
      <c r="B43" s="7">
        <v>5.0000000000000001E-3</v>
      </c>
      <c r="C43" s="7" t="s">
        <v>266</v>
      </c>
    </row>
    <row r="44" spans="1:3" s="7" customFormat="1" ht="13.2" x14ac:dyDescent="0.25">
      <c r="A44" s="7" t="s">
        <v>77</v>
      </c>
      <c r="B44" s="7">
        <v>3.0000000000000001E-3</v>
      </c>
      <c r="C44" s="7" t="s">
        <v>266</v>
      </c>
    </row>
    <row r="45" spans="1:3" s="7" customFormat="1" ht="13.2" x14ac:dyDescent="0.25">
      <c r="A45" s="7" t="s">
        <v>87</v>
      </c>
      <c r="B45" s="7">
        <v>4.0000000000000001E-3</v>
      </c>
      <c r="C45" s="7" t="s">
        <v>266</v>
      </c>
    </row>
    <row r="46" spans="1:3" s="7" customFormat="1" ht="13.2" x14ac:dyDescent="0.25">
      <c r="A46" s="7" t="s">
        <v>121</v>
      </c>
      <c r="B46" s="7">
        <v>2E-3</v>
      </c>
      <c r="C46" s="7" t="s">
        <v>266</v>
      </c>
    </row>
    <row r="47" spans="1:3" s="7" customFormat="1" ht="13.2" x14ac:dyDescent="0.25">
      <c r="A47" s="7" t="s">
        <v>122</v>
      </c>
      <c r="B47" s="7">
        <v>0.06</v>
      </c>
      <c r="C47" s="7" t="s">
        <v>266</v>
      </c>
    </row>
    <row r="48" spans="1:3" s="7" customFormat="1" ht="13.2" x14ac:dyDescent="0.25">
      <c r="A48" s="7" t="s">
        <v>123</v>
      </c>
      <c r="B48" s="7">
        <v>1.47</v>
      </c>
      <c r="C48" s="7" t="s">
        <v>266</v>
      </c>
    </row>
    <row r="49" spans="1:3" s="7" customFormat="1" ht="13.2" x14ac:dyDescent="0.25">
      <c r="A49" s="7" t="s">
        <v>124</v>
      </c>
      <c r="B49" s="7">
        <v>0.01</v>
      </c>
      <c r="C49" s="7" t="s">
        <v>266</v>
      </c>
    </row>
    <row r="50" spans="1:3" s="7" customFormat="1" ht="13.2" x14ac:dyDescent="0.25">
      <c r="A50" s="7" t="s">
        <v>108</v>
      </c>
      <c r="B50" s="7">
        <v>240</v>
      </c>
      <c r="C50" s="7" t="s">
        <v>299</v>
      </c>
    </row>
    <row r="51" spans="1:3" s="7" customFormat="1" ht="13.2" x14ac:dyDescent="0.25"/>
    <row r="52" spans="1:3" s="7" customFormat="1" ht="13.2" x14ac:dyDescent="0.25">
      <c r="A52" s="7" t="s">
        <v>268</v>
      </c>
    </row>
    <row r="53" spans="1:3" s="7" customFormat="1" ht="13.2" x14ac:dyDescent="0.25">
      <c r="A53" s="7" t="s">
        <v>2</v>
      </c>
      <c r="B53" s="7">
        <v>42.57</v>
      </c>
      <c r="C53" s="7" t="s">
        <v>275</v>
      </c>
    </row>
    <row r="54" spans="1:3" s="7" customFormat="1" x14ac:dyDescent="0.25"/>
    <row r="56" spans="1:3" s="7" customFormat="1" x14ac:dyDescent="0.25"/>
    <row r="58" spans="1:3" s="7" customFormat="1" x14ac:dyDescent="0.25"/>
    <row r="60" spans="1:3" s="7" customFormat="1" x14ac:dyDescent="0.25"/>
    <row r="62" spans="1:3" s="7" customFormat="1" x14ac:dyDescent="0.25"/>
    <row r="64" spans="1:3" s="7" customFormat="1" x14ac:dyDescent="0.25"/>
    <row r="65" s="7" customFormat="1" x14ac:dyDescent="0.25"/>
    <row r="66" s="7" customFormat="1" x14ac:dyDescent="0.25"/>
    <row r="68" s="7" customFormat="1" x14ac:dyDescent="0.25"/>
    <row r="70" s="7" customFormat="1" x14ac:dyDescent="0.25"/>
    <row r="71" s="7" customFormat="1" x14ac:dyDescent="0.25"/>
    <row r="73" s="7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workbookViewId="0">
      <selection activeCell="K35" sqref="K35"/>
    </sheetView>
  </sheetViews>
  <sheetFormatPr defaultRowHeight="13.2" x14ac:dyDescent="0.25"/>
  <sheetData>
    <row r="1" spans="1:7" x14ac:dyDescent="0.25">
      <c r="A1" t="s">
        <v>20</v>
      </c>
      <c r="B1" t="s">
        <v>40</v>
      </c>
      <c r="C1" t="s">
        <v>61</v>
      </c>
      <c r="D1" s="1">
        <v>43194</v>
      </c>
      <c r="E1" t="s">
        <v>17</v>
      </c>
      <c r="F1" s="2">
        <v>0.51728375000000004</v>
      </c>
    </row>
    <row r="2" spans="1:7" x14ac:dyDescent="0.25">
      <c r="A2" t="s">
        <v>41</v>
      </c>
      <c r="B2" t="s">
        <v>13</v>
      </c>
    </row>
    <row r="5" spans="1:7" x14ac:dyDescent="0.25">
      <c r="A5" t="s">
        <v>69</v>
      </c>
      <c r="B5" t="s">
        <v>27</v>
      </c>
    </row>
    <row r="6" spans="1:7" x14ac:dyDescent="0.25">
      <c r="A6" t="s">
        <v>39</v>
      </c>
      <c r="B6" t="s">
        <v>40</v>
      </c>
    </row>
    <row r="7" spans="1:7" x14ac:dyDescent="0.25">
      <c r="A7" t="s">
        <v>67</v>
      </c>
      <c r="B7" t="s">
        <v>102</v>
      </c>
    </row>
    <row r="8" spans="1:7" x14ac:dyDescent="0.25">
      <c r="A8" t="s">
        <v>49</v>
      </c>
      <c r="B8" t="s">
        <v>58</v>
      </c>
    </row>
    <row r="9" spans="1:7" x14ac:dyDescent="0.25">
      <c r="A9" t="s">
        <v>60</v>
      </c>
      <c r="B9" t="s">
        <v>62</v>
      </c>
    </row>
    <row r="11" spans="1:7" x14ac:dyDescent="0.25">
      <c r="A11" t="s">
        <v>22</v>
      </c>
      <c r="B11" t="s">
        <v>43</v>
      </c>
      <c r="C11" t="s">
        <v>48</v>
      </c>
      <c r="D11" t="s">
        <v>101</v>
      </c>
      <c r="E11" t="s">
        <v>94</v>
      </c>
      <c r="F11" t="s">
        <v>93</v>
      </c>
      <c r="G11" t="s">
        <v>92</v>
      </c>
    </row>
    <row r="12" spans="1:7" x14ac:dyDescent="0.25">
      <c r="A12" t="s">
        <v>18</v>
      </c>
      <c r="B12" t="s">
        <v>59</v>
      </c>
      <c r="C12">
        <v>168.20364344729299</v>
      </c>
      <c r="D12">
        <v>11.504357820395199</v>
      </c>
      <c r="E12">
        <v>156.18870526376799</v>
      </c>
      <c r="F12">
        <v>5.9506766304329002E-2</v>
      </c>
      <c r="G12">
        <v>0.45107359682478798</v>
      </c>
    </row>
    <row r="13" spans="1:7" x14ac:dyDescent="0.25">
      <c r="A13" t="s">
        <v>66</v>
      </c>
      <c r="B13" t="s">
        <v>0</v>
      </c>
      <c r="C13">
        <v>1.99781534307843E-5</v>
      </c>
      <c r="D13">
        <v>1.1362586103214501E-6</v>
      </c>
      <c r="E13">
        <v>1.88302939621016E-5</v>
      </c>
      <c r="F13">
        <v>1.0485758383301E-8</v>
      </c>
      <c r="G13">
        <v>1.11509997788217E-9</v>
      </c>
    </row>
    <row r="14" spans="1:7" x14ac:dyDescent="0.25">
      <c r="A14" t="s">
        <v>47</v>
      </c>
      <c r="B14" t="s">
        <v>28</v>
      </c>
      <c r="C14">
        <v>0.79424827593437397</v>
      </c>
      <c r="D14">
        <v>8.2473664946779698E-2</v>
      </c>
      <c r="E14">
        <v>0.71107930460020796</v>
      </c>
      <c r="F14">
        <v>6.1109161720884699E-4</v>
      </c>
      <c r="G14">
        <v>8.4214770177283904E-5</v>
      </c>
    </row>
    <row r="15" spans="1:7" x14ac:dyDescent="0.25">
      <c r="A15" t="s">
        <v>45</v>
      </c>
      <c r="B15" t="s">
        <v>34</v>
      </c>
      <c r="C15">
        <v>0.172309175682022</v>
      </c>
      <c r="D15">
        <v>3.0092637084544901E-2</v>
      </c>
      <c r="E15">
        <v>0.142205751034891</v>
      </c>
      <c r="F15">
        <v>5.9777121525098304E-6</v>
      </c>
      <c r="G15">
        <v>4.8098504338942504E-6</v>
      </c>
    </row>
    <row r="16" spans="1:7" x14ac:dyDescent="0.25">
      <c r="A16" t="s">
        <v>15</v>
      </c>
      <c r="B16" t="s">
        <v>65</v>
      </c>
      <c r="C16">
        <v>6.1573840218790199E-2</v>
      </c>
      <c r="D16">
        <v>1.5286419184319699E-2</v>
      </c>
      <c r="E16">
        <v>4.6240149922445101E-2</v>
      </c>
      <c r="F16">
        <v>2.0046836424712499E-5</v>
      </c>
      <c r="G16">
        <v>2.72242756007021E-5</v>
      </c>
    </row>
    <row r="17" spans="1:7" x14ac:dyDescent="0.25">
      <c r="A17" t="s">
        <v>56</v>
      </c>
      <c r="B17" t="s">
        <v>21</v>
      </c>
      <c r="C17">
        <v>147.409262228096</v>
      </c>
      <c r="D17">
        <v>49.638006610751397</v>
      </c>
      <c r="E17">
        <v>97.318139238653799</v>
      </c>
      <c r="F17">
        <v>1.22222426784836E-2</v>
      </c>
      <c r="G17">
        <v>0.44089413601190602</v>
      </c>
    </row>
    <row r="18" spans="1:7" x14ac:dyDescent="0.25">
      <c r="A18" t="s">
        <v>26</v>
      </c>
      <c r="B18" t="s">
        <v>3</v>
      </c>
      <c r="C18">
        <v>0.39129557467139298</v>
      </c>
      <c r="D18">
        <v>5.1273830999374298E-2</v>
      </c>
      <c r="E18">
        <v>0.33933997018579698</v>
      </c>
      <c r="F18">
        <v>5.4716932683954601E-4</v>
      </c>
      <c r="G18">
        <v>1.34604159382326E-4</v>
      </c>
    </row>
    <row r="19" spans="1:7" x14ac:dyDescent="0.25">
      <c r="A19" t="s">
        <v>31</v>
      </c>
      <c r="B19" t="s">
        <v>5</v>
      </c>
      <c r="C19">
        <v>0.27683300313035097</v>
      </c>
      <c r="D19">
        <v>3.8926028510006497E-2</v>
      </c>
      <c r="E19">
        <v>0.23764483798097799</v>
      </c>
      <c r="F19">
        <v>2.27199790408483E-4</v>
      </c>
      <c r="G19">
        <v>3.4936848957866197E-5</v>
      </c>
    </row>
    <row r="20" spans="1:7" x14ac:dyDescent="0.25">
      <c r="A20" t="s">
        <v>64</v>
      </c>
      <c r="B20" t="s">
        <v>21</v>
      </c>
      <c r="C20">
        <v>1.3442620631505199E-2</v>
      </c>
      <c r="D20">
        <v>2.4546620196362599E-3</v>
      </c>
      <c r="E20">
        <v>1.03728377666825E-2</v>
      </c>
      <c r="F20">
        <v>1.66909269873444E-5</v>
      </c>
      <c r="G20">
        <v>5.9842991819914002E-4</v>
      </c>
    </row>
    <row r="21" spans="1:7" x14ac:dyDescent="0.25">
      <c r="A21" t="s">
        <v>6</v>
      </c>
      <c r="B21" t="s">
        <v>21</v>
      </c>
      <c r="C21">
        <v>4.26943996929195</v>
      </c>
      <c r="D21">
        <v>0.978548358539018</v>
      </c>
      <c r="E21">
        <v>3.1903493843681301</v>
      </c>
      <c r="F21">
        <v>2.04214422493674E-4</v>
      </c>
      <c r="G21">
        <v>0.100338011962309</v>
      </c>
    </row>
    <row r="22" spans="1:7" x14ac:dyDescent="0.25">
      <c r="A22" t="s">
        <v>14</v>
      </c>
      <c r="B22" t="s">
        <v>21</v>
      </c>
      <c r="C22">
        <v>4.0296932333270696</v>
      </c>
      <c r="D22">
        <v>0.95994651304464595</v>
      </c>
      <c r="E22">
        <v>3.0052446557158201</v>
      </c>
      <c r="F22">
        <v>3.4559348270540299E-4</v>
      </c>
      <c r="G22">
        <v>6.4156471083894495E-2</v>
      </c>
    </row>
    <row r="23" spans="1:7" x14ac:dyDescent="0.25">
      <c r="A23" t="s">
        <v>50</v>
      </c>
      <c r="B23" t="s">
        <v>68</v>
      </c>
      <c r="C23">
        <v>78.196575667293999</v>
      </c>
      <c r="D23">
        <v>1.1408340036265401</v>
      </c>
      <c r="E23">
        <v>77.050447833109004</v>
      </c>
      <c r="F23">
        <v>4.8989430561375003E-3</v>
      </c>
      <c r="G23">
        <v>3.9488750239293098E-4</v>
      </c>
    </row>
    <row r="24" spans="1:7" x14ac:dyDescent="0.25">
      <c r="A24" t="s">
        <v>7</v>
      </c>
      <c r="B24" t="s">
        <v>10</v>
      </c>
      <c r="C24">
        <v>22.071448302369799</v>
      </c>
      <c r="D24">
        <v>0.86473826076914795</v>
      </c>
      <c r="E24">
        <v>21.205766304384401</v>
      </c>
      <c r="F24">
        <v>7.6972447556507902E-4</v>
      </c>
      <c r="G24">
        <v>1.74012740696617E-4</v>
      </c>
    </row>
    <row r="25" spans="1:7" x14ac:dyDescent="0.25">
      <c r="A25" t="s">
        <v>24</v>
      </c>
      <c r="B25" t="s">
        <v>10</v>
      </c>
      <c r="C25">
        <v>1.2524621558057201</v>
      </c>
      <c r="D25">
        <v>0.26801882687302497</v>
      </c>
      <c r="E25">
        <v>0.98226609021399103</v>
      </c>
      <c r="F25">
        <v>2.0363102484961299E-3</v>
      </c>
      <c r="G25">
        <v>1.4092847021344101E-4</v>
      </c>
    </row>
    <row r="26" spans="1:7" x14ac:dyDescent="0.25">
      <c r="A26" t="s">
        <v>46</v>
      </c>
      <c r="B26" t="s">
        <v>33</v>
      </c>
      <c r="C26">
        <v>1.8848771102446201E-2</v>
      </c>
      <c r="D26">
        <v>2.1408232338893398E-3</v>
      </c>
      <c r="E26">
        <v>1.6687727492216201E-2</v>
      </c>
      <c r="F26">
        <v>2.2681785218061601E-5</v>
      </c>
      <c r="G26">
        <v>-2.4614088773834799E-6</v>
      </c>
    </row>
    <row r="27" spans="1:7" x14ac:dyDescent="0.25">
      <c r="A27" t="s">
        <v>44</v>
      </c>
      <c r="B27" t="s">
        <v>73</v>
      </c>
      <c r="C27">
        <v>2.4311332928195899</v>
      </c>
      <c r="D27">
        <v>9.25328567016339E-2</v>
      </c>
      <c r="E27">
        <v>2.3382934812160698</v>
      </c>
      <c r="F27">
        <v>1.7456163910807099E-4</v>
      </c>
      <c r="G27">
        <v>1.3239326277585101E-4</v>
      </c>
    </row>
    <row r="28" spans="1:7" x14ac:dyDescent="0.25">
      <c r="A28" t="s">
        <v>32</v>
      </c>
      <c r="B28" t="s">
        <v>29</v>
      </c>
      <c r="C28">
        <v>14.838689229660501</v>
      </c>
      <c r="D28">
        <v>9.2147231568310204</v>
      </c>
      <c r="E28">
        <v>5.6218129166717699</v>
      </c>
      <c r="F28">
        <v>1.7407066139714499E-3</v>
      </c>
      <c r="G28">
        <v>4.1244954379303302E-4</v>
      </c>
    </row>
    <row r="29" spans="1:7" x14ac:dyDescent="0.25">
      <c r="A29" t="s">
        <v>53</v>
      </c>
      <c r="B29" t="s">
        <v>52</v>
      </c>
      <c r="C29">
        <v>44.517859941802001</v>
      </c>
      <c r="D29">
        <v>2.8153436119803699</v>
      </c>
      <c r="E29">
        <v>41.680524598116399</v>
      </c>
      <c r="F29">
        <v>2.0752182601089401E-2</v>
      </c>
      <c r="G29">
        <v>1.2395491041453099E-3</v>
      </c>
    </row>
    <row r="32" spans="1:7" x14ac:dyDescent="0.25">
      <c r="A32" t="s">
        <v>103</v>
      </c>
    </row>
    <row r="33" spans="1:28" x14ac:dyDescent="0.25">
      <c r="A33" t="s">
        <v>69</v>
      </c>
      <c r="B33" t="s">
        <v>27</v>
      </c>
    </row>
    <row r="34" spans="1:28" x14ac:dyDescent="0.25">
      <c r="A34" t="s">
        <v>39</v>
      </c>
      <c r="B34" t="s">
        <v>40</v>
      </c>
    </row>
    <row r="35" spans="1:28" x14ac:dyDescent="0.25">
      <c r="A35" t="s">
        <v>67</v>
      </c>
      <c r="B35" t="s">
        <v>91</v>
      </c>
    </row>
    <row r="36" spans="1:28" x14ac:dyDescent="0.25">
      <c r="A36" t="s">
        <v>49</v>
      </c>
      <c r="B36" t="s">
        <v>58</v>
      </c>
    </row>
    <row r="37" spans="1:28" x14ac:dyDescent="0.25">
      <c r="A37" t="s">
        <v>60</v>
      </c>
      <c r="B37" t="s">
        <v>62</v>
      </c>
    </row>
    <row r="39" spans="1:28" x14ac:dyDescent="0.25">
      <c r="A39" t="s">
        <v>22</v>
      </c>
      <c r="B39" t="s">
        <v>43</v>
      </c>
      <c r="C39" t="s">
        <v>48</v>
      </c>
      <c r="E39" t="s">
        <v>90</v>
      </c>
      <c r="F39" t="s">
        <v>89</v>
      </c>
      <c r="G39" t="s">
        <v>9</v>
      </c>
      <c r="H39" t="s">
        <v>77</v>
      </c>
      <c r="I39" t="s">
        <v>88</v>
      </c>
      <c r="J39" t="s">
        <v>87</v>
      </c>
      <c r="K39" t="s">
        <v>86</v>
      </c>
      <c r="L39" t="s">
        <v>85</v>
      </c>
      <c r="M39" t="s">
        <v>84</v>
      </c>
      <c r="N39" t="s">
        <v>83</v>
      </c>
      <c r="O39" t="s">
        <v>76</v>
      </c>
      <c r="P39" t="s">
        <v>57</v>
      </c>
      <c r="Q39" t="s">
        <v>36</v>
      </c>
      <c r="R39" t="s">
        <v>37</v>
      </c>
      <c r="S39" t="s">
        <v>12</v>
      </c>
      <c r="T39" t="s">
        <v>71</v>
      </c>
      <c r="U39" t="s">
        <v>82</v>
      </c>
      <c r="V39" t="s">
        <v>81</v>
      </c>
      <c r="W39" t="s">
        <v>1</v>
      </c>
      <c r="X39" t="s">
        <v>80</v>
      </c>
      <c r="Y39" t="s">
        <v>35</v>
      </c>
      <c r="Z39" t="s">
        <v>8</v>
      </c>
      <c r="AA39" t="s">
        <v>2</v>
      </c>
      <c r="AB39" t="s">
        <v>63</v>
      </c>
    </row>
    <row r="40" spans="1:28" x14ac:dyDescent="0.25">
      <c r="A40" t="s">
        <v>18</v>
      </c>
      <c r="B40" t="s">
        <v>59</v>
      </c>
      <c r="C40">
        <v>11.5043578173438</v>
      </c>
      <c r="E40">
        <v>1.14815878194434</v>
      </c>
      <c r="F40">
        <v>1.82068110199717E-3</v>
      </c>
      <c r="G40">
        <v>8.7245373874440896E-2</v>
      </c>
      <c r="H40">
        <v>0.38986635831108002</v>
      </c>
      <c r="I40">
        <v>3.8560037005681502E-2</v>
      </c>
      <c r="J40">
        <v>3.3555417357103399E-5</v>
      </c>
      <c r="K40">
        <v>1.15768081099517E-2</v>
      </c>
      <c r="L40">
        <v>7.1028403737502599E-3</v>
      </c>
      <c r="M40">
        <v>9.0937604369135703E-7</v>
      </c>
      <c r="N40">
        <v>3.52103706308165E-3</v>
      </c>
      <c r="O40">
        <v>0.120471363789613</v>
      </c>
      <c r="P40">
        <v>7.9341369110732404E-2</v>
      </c>
      <c r="Q40">
        <v>1.81495567538668</v>
      </c>
      <c r="R40">
        <v>0.33409620454480399</v>
      </c>
      <c r="S40">
        <v>3.65765035334827</v>
      </c>
      <c r="T40">
        <v>0.157626642266955</v>
      </c>
      <c r="U40">
        <v>6.2940347220237697E-2</v>
      </c>
      <c r="V40">
        <v>0.27802414624757699</v>
      </c>
      <c r="W40">
        <v>0.15953932222044401</v>
      </c>
      <c r="X40">
        <v>3.0526417591199E-2</v>
      </c>
      <c r="Y40">
        <v>6.2649664181835003E-4</v>
      </c>
      <c r="Z40">
        <v>3.9452814590438298E-2</v>
      </c>
      <c r="AA40">
        <v>1.57424147952212</v>
      </c>
      <c r="AB40">
        <v>1.50697880228514</v>
      </c>
    </row>
    <row r="41" spans="1:28" x14ac:dyDescent="0.25">
      <c r="A41" t="s">
        <v>66</v>
      </c>
      <c r="B41" t="s">
        <v>0</v>
      </c>
      <c r="C41">
        <v>1.13625861047796E-6</v>
      </c>
      <c r="E41">
        <v>4.77460556012531E-8</v>
      </c>
      <c r="F41">
        <v>4.9120599711625303E-10</v>
      </c>
      <c r="G41">
        <v>2.8825145680247599E-8</v>
      </c>
      <c r="H41">
        <v>9.9730347322632807E-8</v>
      </c>
      <c r="I41">
        <v>4.0339344917705901E-8</v>
      </c>
      <c r="J41">
        <v>2.8001277368416802E-12</v>
      </c>
      <c r="K41">
        <v>9.53786348323205E-9</v>
      </c>
      <c r="L41">
        <v>3.9991573567441201E-10</v>
      </c>
      <c r="M41">
        <v>4.7262329766866399E-14</v>
      </c>
      <c r="N41">
        <v>2.4699940797167201E-10</v>
      </c>
      <c r="O41">
        <v>8.6206374661939408E-9</v>
      </c>
      <c r="P41">
        <v>1.37109566103996E-8</v>
      </c>
      <c r="Q41">
        <v>1.5287372753688901E-7</v>
      </c>
      <c r="R41">
        <v>2.2867077314624701E-8</v>
      </c>
      <c r="S41">
        <v>4.04487335945797E-7</v>
      </c>
      <c r="T41">
        <v>2.4999287298196301E-8</v>
      </c>
      <c r="U41">
        <v>5.2268216745982302E-9</v>
      </c>
      <c r="V41">
        <v>3.8091960484620499E-8</v>
      </c>
      <c r="W41">
        <v>9.6088504686868899E-8</v>
      </c>
      <c r="X41">
        <v>3.7372458349308799E-10</v>
      </c>
      <c r="Y41">
        <v>3.0429805347456101E-11</v>
      </c>
      <c r="Z41">
        <v>3.4968238086171601E-9</v>
      </c>
      <c r="AA41">
        <v>8.3343459764221694E-9</v>
      </c>
      <c r="AB41">
        <v>1.29737251749995E-7</v>
      </c>
    </row>
    <row r="42" spans="1:28" x14ac:dyDescent="0.25">
      <c r="A42" t="s">
        <v>47</v>
      </c>
      <c r="B42" t="s">
        <v>28</v>
      </c>
      <c r="C42">
        <v>8.2473664850954698E-2</v>
      </c>
      <c r="E42">
        <v>6.1133526409747497E-3</v>
      </c>
      <c r="F42">
        <v>9.6088114423889796E-6</v>
      </c>
      <c r="G42">
        <v>2.5495042423724499E-4</v>
      </c>
      <c r="H42">
        <v>2.3284368799581E-3</v>
      </c>
      <c r="I42">
        <v>1.71070842474161E-3</v>
      </c>
      <c r="J42">
        <v>7.5706153609238104E-6</v>
      </c>
      <c r="K42">
        <v>4.2388656356421699E-4</v>
      </c>
      <c r="L42">
        <v>2.9738765708913801E-5</v>
      </c>
      <c r="M42">
        <v>4.9880616587732996E-9</v>
      </c>
      <c r="N42">
        <v>6.9339946026702906E-5</v>
      </c>
      <c r="O42">
        <v>7.5134326400646005E-4</v>
      </c>
      <c r="P42">
        <v>2.94933503750772E-3</v>
      </c>
      <c r="Q42">
        <v>1.07503813890327E-2</v>
      </c>
      <c r="R42">
        <v>2.0754871030849698E-3</v>
      </c>
      <c r="S42">
        <v>2.6022842740129701E-2</v>
      </c>
      <c r="T42">
        <v>3.9555387318443202E-3</v>
      </c>
      <c r="U42">
        <v>4.2950770249199001E-4</v>
      </c>
      <c r="V42">
        <v>2.4661401825828199E-3</v>
      </c>
      <c r="W42">
        <v>3.8015229936578399E-3</v>
      </c>
      <c r="X42">
        <v>1.76028117589205E-4</v>
      </c>
      <c r="Y42">
        <v>2.3583668215992E-6</v>
      </c>
      <c r="Z42">
        <v>1.83763026359008E-4</v>
      </c>
      <c r="AA42">
        <v>7.26599077802461E-3</v>
      </c>
      <c r="AB42">
        <v>1.06958273577452E-2</v>
      </c>
    </row>
    <row r="43" spans="1:28" x14ac:dyDescent="0.25">
      <c r="A43" t="s">
        <v>45</v>
      </c>
      <c r="B43" t="s">
        <v>34</v>
      </c>
      <c r="C43">
        <v>3.0092636967089501E-2</v>
      </c>
      <c r="E43">
        <v>6.8903926089407903E-4</v>
      </c>
      <c r="F43">
        <v>7.1138813022159802E-7</v>
      </c>
      <c r="G43">
        <v>2.48294357466946E-6</v>
      </c>
      <c r="H43">
        <v>1.5404132987723899E-4</v>
      </c>
      <c r="I43">
        <v>4.1221667889509799E-4</v>
      </c>
      <c r="J43">
        <v>9.4294111023588004E-8</v>
      </c>
      <c r="K43">
        <v>9.8889901093646105E-5</v>
      </c>
      <c r="L43">
        <v>2.5615021242612E-6</v>
      </c>
      <c r="M43">
        <v>3.5955194913511698E-10</v>
      </c>
      <c r="N43">
        <v>1.8240701328353599E-4</v>
      </c>
      <c r="O43">
        <v>9.1393074991652501E-4</v>
      </c>
      <c r="P43">
        <v>1.2249756060180901E-4</v>
      </c>
      <c r="Q43">
        <v>1.9848721824163701E-3</v>
      </c>
      <c r="R43">
        <v>1.0184583749785201E-3</v>
      </c>
      <c r="S43">
        <v>1.8581292982430199E-2</v>
      </c>
      <c r="T43">
        <v>3.2147608075458298E-3</v>
      </c>
      <c r="U43">
        <v>4.8995937781448403E-5</v>
      </c>
      <c r="V43">
        <v>3.7371769766753201E-4</v>
      </c>
      <c r="W43">
        <v>8.4877595073682799E-4</v>
      </c>
      <c r="X43">
        <v>9.8921109075366703E-7</v>
      </c>
      <c r="Y43">
        <v>9.8118310386683397E-8</v>
      </c>
      <c r="Z43">
        <v>1.9926017579721399E-5</v>
      </c>
      <c r="AA43">
        <v>2.1517695068155499E-4</v>
      </c>
      <c r="AB43">
        <v>1.20669975381632E-3</v>
      </c>
    </row>
    <row r="44" spans="1:28" x14ac:dyDescent="0.25">
      <c r="A44" t="s">
        <v>15</v>
      </c>
      <c r="B44" t="s">
        <v>65</v>
      </c>
      <c r="C44">
        <v>1.52864191677564E-2</v>
      </c>
      <c r="E44">
        <v>2.6090346917872001E-4</v>
      </c>
      <c r="F44">
        <v>7.8860771974990601E-7</v>
      </c>
      <c r="G44">
        <v>5.6740383090883203E-6</v>
      </c>
      <c r="H44">
        <v>1.1430811607369301E-4</v>
      </c>
      <c r="I44">
        <v>1.06522610960504E-4</v>
      </c>
      <c r="J44">
        <v>2.38574182362079E-8</v>
      </c>
      <c r="K44">
        <v>2.5846201135955299E-5</v>
      </c>
      <c r="L44">
        <v>1.2279052041027499E-6</v>
      </c>
      <c r="M44">
        <v>1.8476745078530001E-10</v>
      </c>
      <c r="N44">
        <v>1.6812087665446599E-5</v>
      </c>
      <c r="O44">
        <v>7.9415488282902797E-5</v>
      </c>
      <c r="P44">
        <v>3.55572702216764E-5</v>
      </c>
      <c r="Q44">
        <v>6.6449472374732201E-4</v>
      </c>
      <c r="R44">
        <v>1.79228069407985E-4</v>
      </c>
      <c r="S44">
        <v>2.0621194057679399E-3</v>
      </c>
      <c r="T44">
        <v>2.3665138689920101E-4</v>
      </c>
      <c r="U44">
        <v>1.8632881741866201E-5</v>
      </c>
      <c r="V44">
        <v>1.2966429589190601E-4</v>
      </c>
      <c r="W44">
        <v>2.2880873972460801E-4</v>
      </c>
      <c r="X44">
        <v>6.4013923881311497E-6</v>
      </c>
      <c r="Y44">
        <v>1.7540412110247599E-7</v>
      </c>
      <c r="Z44">
        <v>3.6990575780088203E-5</v>
      </c>
      <c r="AA44">
        <v>1.9912116662633601E-4</v>
      </c>
      <c r="AB44">
        <v>1.0877051288722401E-2</v>
      </c>
    </row>
    <row r="45" spans="1:28" x14ac:dyDescent="0.25">
      <c r="A45" t="s">
        <v>56</v>
      </c>
      <c r="B45" t="s">
        <v>21</v>
      </c>
      <c r="C45">
        <v>49.638006388619097</v>
      </c>
      <c r="E45">
        <v>0.87242191748701003</v>
      </c>
      <c r="F45">
        <v>9.6207178330556895E-4</v>
      </c>
      <c r="G45">
        <v>6.8674865914825304E-3</v>
      </c>
      <c r="H45">
        <v>0.196083123764696</v>
      </c>
      <c r="I45">
        <v>0.91482703040235802</v>
      </c>
      <c r="J45">
        <v>1.5478350652124801E-4</v>
      </c>
      <c r="K45">
        <v>0.21998450221275201</v>
      </c>
      <c r="L45">
        <v>7.4413035747350397E-3</v>
      </c>
      <c r="M45">
        <v>5.3283979990740804E-7</v>
      </c>
      <c r="N45">
        <v>0.30652748917772299</v>
      </c>
      <c r="O45">
        <v>1.49391721918539</v>
      </c>
      <c r="P45">
        <v>0.18775864886596499</v>
      </c>
      <c r="Q45">
        <v>2.8587805152783199</v>
      </c>
      <c r="R45">
        <v>1.57348555752854</v>
      </c>
      <c r="S45">
        <v>30.241284019052401</v>
      </c>
      <c r="T45">
        <v>5.4006646107922398</v>
      </c>
      <c r="U45">
        <v>6.4900821770627698E-2</v>
      </c>
      <c r="V45">
        <v>0.63770910231898503</v>
      </c>
      <c r="W45">
        <v>1.8593463472610801</v>
      </c>
      <c r="X45">
        <v>3.1965595396745402E-3</v>
      </c>
      <c r="Y45">
        <v>1.1504750500872401E-4</v>
      </c>
      <c r="Z45">
        <v>1.4235658501352199E-2</v>
      </c>
      <c r="AA45">
        <v>0.177098381070356</v>
      </c>
      <c r="AB45">
        <v>2.6002436586087998</v>
      </c>
    </row>
    <row r="46" spans="1:28" x14ac:dyDescent="0.25">
      <c r="A46" t="s">
        <v>26</v>
      </c>
      <c r="B46" t="s">
        <v>3</v>
      </c>
      <c r="C46">
        <v>5.1273830944194E-2</v>
      </c>
      <c r="E46">
        <v>3.9675867509170997E-3</v>
      </c>
      <c r="F46">
        <v>5.7116527771969504E-6</v>
      </c>
      <c r="G46">
        <v>2.1417997705214901E-4</v>
      </c>
      <c r="H46">
        <v>1.36838779140273E-3</v>
      </c>
      <c r="I46">
        <v>4.2615253891160101E-4</v>
      </c>
      <c r="J46">
        <v>8.07590131605968E-7</v>
      </c>
      <c r="K46">
        <v>1.12732918256312E-4</v>
      </c>
      <c r="L46">
        <v>3.0724380405701099E-5</v>
      </c>
      <c r="M46">
        <v>3.3992615636690002E-9</v>
      </c>
      <c r="N46">
        <v>7.1235477369787706E-5</v>
      </c>
      <c r="O46">
        <v>5.6377926201021695E-4</v>
      </c>
      <c r="P46">
        <v>7.2056104007164705E-4</v>
      </c>
      <c r="Q46">
        <v>1.1177186712201199E-2</v>
      </c>
      <c r="R46">
        <v>1.3094843702134899E-3</v>
      </c>
      <c r="S46">
        <v>1.6272162803146601E-2</v>
      </c>
      <c r="T46">
        <v>1.5941399612764901E-3</v>
      </c>
      <c r="U46">
        <v>2.1350180526435401E-4</v>
      </c>
      <c r="V46">
        <v>1.56305473308893E-3</v>
      </c>
      <c r="W46">
        <v>1.1864593595423099E-3</v>
      </c>
      <c r="X46">
        <v>1.9452386098042299E-4</v>
      </c>
      <c r="Y46">
        <v>2.7387818838378401E-6</v>
      </c>
      <c r="Z46">
        <v>1.26333419936208E-4</v>
      </c>
      <c r="AA46">
        <v>4.3707039963738602E-3</v>
      </c>
      <c r="AB46">
        <v>5.7816783617187497E-3</v>
      </c>
    </row>
    <row r="47" spans="1:28" x14ac:dyDescent="0.25">
      <c r="A47" t="s">
        <v>31</v>
      </c>
      <c r="B47" t="s">
        <v>5</v>
      </c>
      <c r="C47">
        <v>3.89260285064306E-2</v>
      </c>
      <c r="E47">
        <v>2.7766689662959499E-3</v>
      </c>
      <c r="F47">
        <v>1.50182424875214E-5</v>
      </c>
      <c r="G47">
        <v>1.2869353239590599E-4</v>
      </c>
      <c r="H47">
        <v>1.14638270455538E-3</v>
      </c>
      <c r="I47">
        <v>5.4237732479905498E-4</v>
      </c>
      <c r="J47">
        <v>1.63179921032412E-6</v>
      </c>
      <c r="K47">
        <v>1.3652615647703501E-4</v>
      </c>
      <c r="L47">
        <v>2.7899910132547799E-5</v>
      </c>
      <c r="M47">
        <v>5.1330235698975703E-9</v>
      </c>
      <c r="N47">
        <v>9.3932733928679896E-5</v>
      </c>
      <c r="O47">
        <v>4.1457203446222597E-4</v>
      </c>
      <c r="P47">
        <v>7.6948346956130396E-4</v>
      </c>
      <c r="Q47">
        <v>6.0360708501644902E-3</v>
      </c>
      <c r="R47">
        <v>1.4038823279778801E-3</v>
      </c>
      <c r="S47">
        <v>1.3206294705918E-2</v>
      </c>
      <c r="T47">
        <v>1.15892669558978E-3</v>
      </c>
      <c r="U47">
        <v>2.3318977338672E-4</v>
      </c>
      <c r="V47">
        <v>1.2909014078449201E-3</v>
      </c>
      <c r="W47">
        <v>1.3764055892211799E-3</v>
      </c>
      <c r="X47">
        <v>9.8779763907487706E-5</v>
      </c>
      <c r="Y47">
        <v>1.0080072878841499E-6</v>
      </c>
      <c r="Z47">
        <v>8.4572913896913403E-5</v>
      </c>
      <c r="AA47">
        <v>3.2762433324390601E-3</v>
      </c>
      <c r="AB47">
        <v>4.7065611314667504E-3</v>
      </c>
    </row>
    <row r="48" spans="1:28" x14ac:dyDescent="0.25">
      <c r="A48" t="s">
        <v>64</v>
      </c>
      <c r="B48" t="s">
        <v>21</v>
      </c>
      <c r="C48">
        <v>2.4546620164318201E-3</v>
      </c>
      <c r="E48">
        <v>6.2407084919575495E-5</v>
      </c>
      <c r="F48">
        <v>2.2458792657616601E-5</v>
      </c>
      <c r="G48">
        <v>1.7759377550451101E-6</v>
      </c>
      <c r="H48">
        <v>2.7503867287038302E-4</v>
      </c>
      <c r="I48">
        <v>6.9642648157290801E-5</v>
      </c>
      <c r="J48">
        <v>2.3896623705016499E-8</v>
      </c>
      <c r="K48">
        <v>1.9575818791182399E-5</v>
      </c>
      <c r="L48">
        <v>1.6624237280511799E-6</v>
      </c>
      <c r="M48">
        <v>1.5001586799268701E-10</v>
      </c>
      <c r="N48">
        <v>7.9118281666070801E-7</v>
      </c>
      <c r="O48">
        <v>1.69325259593358E-5</v>
      </c>
      <c r="P48">
        <v>9.2671692866257902E-6</v>
      </c>
      <c r="Q48">
        <v>1.6009108416426801E-4</v>
      </c>
      <c r="R48">
        <v>2.92440230174325E-5</v>
      </c>
      <c r="S48">
        <v>1.2274116532655201E-3</v>
      </c>
      <c r="T48">
        <v>4.9725786849280403E-5</v>
      </c>
      <c r="U48">
        <v>7.2206603441631702E-6</v>
      </c>
      <c r="V48">
        <v>5.5553177444233001E-5</v>
      </c>
      <c r="W48">
        <v>1.4821232913139501E-4</v>
      </c>
      <c r="X48">
        <v>8.1721025457885503E-7</v>
      </c>
      <c r="Y48">
        <v>3.4341342218159899E-8</v>
      </c>
      <c r="Z48">
        <v>7.8483534602915404E-5</v>
      </c>
      <c r="AA48">
        <v>1.9350131304161299E-5</v>
      </c>
      <c r="AB48">
        <v>1.98941781130313E-4</v>
      </c>
    </row>
    <row r="49" spans="1:28" x14ac:dyDescent="0.25">
      <c r="A49" t="s">
        <v>6</v>
      </c>
      <c r="B49" t="s">
        <v>21</v>
      </c>
      <c r="C49">
        <v>0.97854835414440999</v>
      </c>
      <c r="E49">
        <v>2.03411205468697E-2</v>
      </c>
      <c r="F49">
        <v>2.2056196799385301E-5</v>
      </c>
      <c r="G49">
        <v>7.4593156212064994E-5</v>
      </c>
      <c r="H49">
        <v>5.1514842454264496E-3</v>
      </c>
      <c r="I49">
        <v>1.43979275935943E-2</v>
      </c>
      <c r="J49">
        <v>4.9524861109043104E-6</v>
      </c>
      <c r="K49">
        <v>3.4414879762463399E-3</v>
      </c>
      <c r="L49">
        <v>1.18946031137531E-4</v>
      </c>
      <c r="M49">
        <v>7.4508249967759506E-8</v>
      </c>
      <c r="N49">
        <v>6.0730800418605799E-3</v>
      </c>
      <c r="O49">
        <v>2.99285233749257E-2</v>
      </c>
      <c r="P49">
        <v>4.3447503986604203E-3</v>
      </c>
      <c r="Q49">
        <v>6.1530026265683102E-2</v>
      </c>
      <c r="R49">
        <v>3.20894500009015E-2</v>
      </c>
      <c r="S49">
        <v>0.60245801962785095</v>
      </c>
      <c r="T49">
        <v>0.107389820037217</v>
      </c>
      <c r="U49">
        <v>1.4780389753157601E-3</v>
      </c>
      <c r="V49">
        <v>1.17133266158482E-2</v>
      </c>
      <c r="W49">
        <v>3.1290866909736502E-2</v>
      </c>
      <c r="X49">
        <v>6.6459735591372897E-5</v>
      </c>
      <c r="Y49">
        <v>2.9139541385858002E-6</v>
      </c>
      <c r="Z49">
        <v>4.6643294068258399E-4</v>
      </c>
      <c r="AA49">
        <v>7.6062458518103403E-3</v>
      </c>
      <c r="AB49">
        <v>3.8557756673540403E-2</v>
      </c>
    </row>
    <row r="50" spans="1:28" x14ac:dyDescent="0.25">
      <c r="A50" t="s">
        <v>14</v>
      </c>
      <c r="B50" t="s">
        <v>21</v>
      </c>
      <c r="C50">
        <v>0.95994650883427601</v>
      </c>
      <c r="E50">
        <v>1.90196386915376E-2</v>
      </c>
      <c r="F50">
        <v>2.1915676779624898E-5</v>
      </c>
      <c r="G50">
        <v>6.8991306878229998E-5</v>
      </c>
      <c r="H50">
        <v>5.1117324400262098E-3</v>
      </c>
      <c r="I50">
        <v>1.53395623102171E-2</v>
      </c>
      <c r="J50">
        <v>5.0252955667562202E-6</v>
      </c>
      <c r="K50">
        <v>3.69871091382024E-3</v>
      </c>
      <c r="L50">
        <v>1.21867860806554E-4</v>
      </c>
      <c r="M50">
        <v>7.6491750188903303E-8</v>
      </c>
      <c r="N50">
        <v>5.4306400003371197E-3</v>
      </c>
      <c r="O50">
        <v>2.7595849706505901E-2</v>
      </c>
      <c r="P50">
        <v>6.1385977380994496E-3</v>
      </c>
      <c r="Q50">
        <v>9.0482812759728304E-2</v>
      </c>
      <c r="R50">
        <v>2.9000361968755901E-2</v>
      </c>
      <c r="S50">
        <v>0.56716417786250495</v>
      </c>
      <c r="T50">
        <v>9.9462825540744204E-2</v>
      </c>
      <c r="U50">
        <v>1.46698363565135E-3</v>
      </c>
      <c r="V50">
        <v>1.2025929790896801E-2</v>
      </c>
      <c r="W50">
        <v>3.3131368800980297E-2</v>
      </c>
      <c r="X50">
        <v>5.7769139678785101E-5</v>
      </c>
      <c r="Y50">
        <v>2.8561420774975998E-6</v>
      </c>
      <c r="Z50">
        <v>4.2186302201945302E-4</v>
      </c>
      <c r="AA50">
        <v>7.0558497030419201E-3</v>
      </c>
      <c r="AB50">
        <v>3.7121102035871698E-2</v>
      </c>
    </row>
    <row r="51" spans="1:28" x14ac:dyDescent="0.25">
      <c r="A51" t="s">
        <v>50</v>
      </c>
      <c r="B51" t="s">
        <v>68</v>
      </c>
      <c r="C51">
        <v>1.14083400215348</v>
      </c>
      <c r="E51">
        <v>6.5483828704507294E-2</v>
      </c>
      <c r="F51">
        <v>1.2743375585705101E-4</v>
      </c>
      <c r="G51">
        <v>8.6892756619917497E-5</v>
      </c>
      <c r="H51">
        <v>8.81057862258698E-2</v>
      </c>
      <c r="I51">
        <v>1.03726381388775E-2</v>
      </c>
      <c r="J51">
        <v>2.6779066942592901E-6</v>
      </c>
      <c r="K51">
        <v>2.52339999159623E-3</v>
      </c>
      <c r="L51">
        <v>3.5359207538068001E-4</v>
      </c>
      <c r="M51">
        <v>5.2207009575898699E-8</v>
      </c>
      <c r="N51">
        <v>2.7000086217429301E-4</v>
      </c>
      <c r="O51">
        <v>1.5035305741187501E-2</v>
      </c>
      <c r="P51">
        <v>9.0330777025709099E-3</v>
      </c>
      <c r="Q51">
        <v>0.188559913306272</v>
      </c>
      <c r="R51">
        <v>4.0743231273677898E-2</v>
      </c>
      <c r="S51">
        <v>0.45600939496070098</v>
      </c>
      <c r="T51">
        <v>1.6943854880757999E-2</v>
      </c>
      <c r="U51">
        <v>7.8660699714399093E-3</v>
      </c>
      <c r="V51">
        <v>4.0616638193353899E-2</v>
      </c>
      <c r="W51">
        <v>2.6261125956528301E-2</v>
      </c>
      <c r="X51">
        <v>3.4205174995385501E-5</v>
      </c>
      <c r="Y51">
        <v>1.6972724257425401E-5</v>
      </c>
      <c r="Z51">
        <v>3.9368449987154004E-3</v>
      </c>
      <c r="AA51">
        <v>2.69342556879455E-2</v>
      </c>
      <c r="AB51">
        <v>0.14151680895648999</v>
      </c>
    </row>
    <row r="52" spans="1:28" x14ac:dyDescent="0.25">
      <c r="A52" t="s">
        <v>7</v>
      </c>
      <c r="B52" t="s">
        <v>10</v>
      </c>
      <c r="C52">
        <v>0.86473825793897197</v>
      </c>
      <c r="E52">
        <v>3.80258043191831E-2</v>
      </c>
      <c r="F52">
        <v>2.13798843434295E-4</v>
      </c>
      <c r="G52">
        <v>2.84319340587088E-5</v>
      </c>
      <c r="H52">
        <v>5.8262368766693502E-2</v>
      </c>
      <c r="I52">
        <v>8.2350719154739797E-3</v>
      </c>
      <c r="J52">
        <v>2.0937164862492799E-6</v>
      </c>
      <c r="K52">
        <v>2.0237232920152898E-3</v>
      </c>
      <c r="L52">
        <v>1.72188502918221E-4</v>
      </c>
      <c r="M52">
        <v>6.4214111889261299E-8</v>
      </c>
      <c r="N52">
        <v>3.3495644799870099E-4</v>
      </c>
      <c r="O52">
        <v>6.8485978045644399E-3</v>
      </c>
      <c r="P52">
        <v>6.2601905256050999E-3</v>
      </c>
      <c r="Q52">
        <v>0.14509094737832501</v>
      </c>
      <c r="R52">
        <v>2.0518561327478299E-2</v>
      </c>
      <c r="S52">
        <v>0.21468539259489899</v>
      </c>
      <c r="T52">
        <v>9.4703156271548402E-3</v>
      </c>
      <c r="U52">
        <v>5.8472075307336498E-3</v>
      </c>
      <c r="V52">
        <v>1.9331324678482701E-2</v>
      </c>
      <c r="W52">
        <v>1.9773319690115899E-2</v>
      </c>
      <c r="X52">
        <v>2.1366727282589101E-5</v>
      </c>
      <c r="Y52">
        <v>1.1308715137583501E-5</v>
      </c>
      <c r="Z52">
        <v>4.0830128261589403E-2</v>
      </c>
      <c r="AA52">
        <v>2.21991331597764E-2</v>
      </c>
      <c r="AB52">
        <v>0.24655196196545301</v>
      </c>
    </row>
    <row r="53" spans="1:28" x14ac:dyDescent="0.25">
      <c r="A53" t="s">
        <v>24</v>
      </c>
      <c r="B53" t="s">
        <v>10</v>
      </c>
      <c r="C53">
        <v>0.26801882591466403</v>
      </c>
      <c r="E53">
        <v>1.65891239578588E-2</v>
      </c>
      <c r="F53">
        <v>1.85199084223909E-5</v>
      </c>
      <c r="G53">
        <v>6.2120164158297099E-5</v>
      </c>
      <c r="H53">
        <v>4.1722854695205001E-3</v>
      </c>
      <c r="I53">
        <v>1.8040455649862E-3</v>
      </c>
      <c r="J53">
        <v>8.0193660623078399E-7</v>
      </c>
      <c r="K53">
        <v>4.6034155564838599E-4</v>
      </c>
      <c r="L53">
        <v>8.6426932175434894E-5</v>
      </c>
      <c r="M53">
        <v>1.70993982001238E-8</v>
      </c>
      <c r="N53">
        <v>5.2185440512600401E-4</v>
      </c>
      <c r="O53">
        <v>5.5332283753958501E-3</v>
      </c>
      <c r="P53">
        <v>2.09223152842257E-3</v>
      </c>
      <c r="Q53">
        <v>3.7283291915935199E-2</v>
      </c>
      <c r="R53">
        <v>5.4891638707689101E-3</v>
      </c>
      <c r="S53">
        <v>0.126925281716846</v>
      </c>
      <c r="T53">
        <v>1.88920492102033E-2</v>
      </c>
      <c r="U53">
        <v>9.5443699343459101E-4</v>
      </c>
      <c r="V53">
        <v>3.7187833275510898E-3</v>
      </c>
      <c r="W53">
        <v>4.7665079596490899E-3</v>
      </c>
      <c r="X53">
        <v>2.63106478197519E-5</v>
      </c>
      <c r="Y53">
        <v>3.6043123674961102E-6</v>
      </c>
      <c r="Z53">
        <v>8.6756954380829104E-4</v>
      </c>
      <c r="AA53">
        <v>1.31648375815232E-2</v>
      </c>
      <c r="AB53">
        <v>2.4585991937039201E-2</v>
      </c>
    </row>
    <row r="54" spans="1:28" x14ac:dyDescent="0.25">
      <c r="A54" t="s">
        <v>46</v>
      </c>
      <c r="B54" t="s">
        <v>33</v>
      </c>
      <c r="C54">
        <v>2.1408232364215699E-3</v>
      </c>
      <c r="E54">
        <v>1.0972648853904999E-4</v>
      </c>
      <c r="F54">
        <v>4.9400770263356099E-7</v>
      </c>
      <c r="G54">
        <v>3.1414125852861901E-7</v>
      </c>
      <c r="H54">
        <v>9.1543228633671593E-5</v>
      </c>
      <c r="I54">
        <v>1.22957811810483E-5</v>
      </c>
      <c r="J54">
        <v>5.9314643709399699E-9</v>
      </c>
      <c r="K54">
        <v>3.33556893905843E-6</v>
      </c>
      <c r="L54">
        <v>9.3243122507931801E-7</v>
      </c>
      <c r="M54">
        <v>8.8653263696038806E-11</v>
      </c>
      <c r="N54">
        <v>2.3220806422088301E-6</v>
      </c>
      <c r="O54">
        <v>2.80653004809263E-5</v>
      </c>
      <c r="P54">
        <v>1.8751935517092901E-5</v>
      </c>
      <c r="Q54">
        <v>3.6049663640503698E-4</v>
      </c>
      <c r="R54">
        <v>5.89768922419508E-5</v>
      </c>
      <c r="S54">
        <v>8.1146320866983901E-4</v>
      </c>
      <c r="T54">
        <v>6.9845931243154997E-5</v>
      </c>
      <c r="U54">
        <v>1.66644584347868E-5</v>
      </c>
      <c r="V54">
        <v>9.6353923906877602E-5</v>
      </c>
      <c r="W54">
        <v>3.3753856109418098E-5</v>
      </c>
      <c r="X54">
        <v>1.18196993279396E-7</v>
      </c>
      <c r="Y54">
        <v>5.6248574162093803E-8</v>
      </c>
      <c r="Z54">
        <v>8.4479610600774392E-6</v>
      </c>
      <c r="AA54">
        <v>6.6441612431322801E-5</v>
      </c>
      <c r="AB54">
        <v>3.5041732611473299E-4</v>
      </c>
    </row>
    <row r="55" spans="1:28" x14ac:dyDescent="0.25">
      <c r="A55" t="s">
        <v>44</v>
      </c>
      <c r="B55" t="s">
        <v>73</v>
      </c>
      <c r="C55">
        <v>9.2532856748788E-2</v>
      </c>
      <c r="E55">
        <v>7.59910740547492E-3</v>
      </c>
      <c r="F55">
        <v>3.3762068225531202E-5</v>
      </c>
      <c r="G55">
        <v>5.8682595912133001E-4</v>
      </c>
      <c r="H55">
        <v>4.9346361779325897E-3</v>
      </c>
      <c r="I55">
        <v>6.8857036938661505E-4</v>
      </c>
      <c r="J55">
        <v>4.2797028155553799E-7</v>
      </c>
      <c r="K55">
        <v>1.8676210118818401E-4</v>
      </c>
      <c r="L55">
        <v>3.6012682670698298E-5</v>
      </c>
      <c r="M55">
        <v>4.42879055932841E-9</v>
      </c>
      <c r="N55">
        <v>1.2480278001818199E-4</v>
      </c>
      <c r="O55">
        <v>9.0861981624290697E-4</v>
      </c>
      <c r="P55">
        <v>8.2762647327196603E-4</v>
      </c>
      <c r="Q55">
        <v>1.7302941876316098E-2</v>
      </c>
      <c r="R55">
        <v>3.7302548912814498E-3</v>
      </c>
      <c r="S55">
        <v>3.2146041016211803E-2</v>
      </c>
      <c r="T55">
        <v>1.43331270220124E-3</v>
      </c>
      <c r="U55">
        <v>5.3073998039181104E-4</v>
      </c>
      <c r="V55">
        <v>3.1039063081383998E-3</v>
      </c>
      <c r="W55">
        <v>2.07018682963549E-3</v>
      </c>
      <c r="X55">
        <v>6.8800830574925495E-4</v>
      </c>
      <c r="Y55">
        <v>1.11612534694031E-5</v>
      </c>
      <c r="Z55">
        <v>3.6006101105764E-4</v>
      </c>
      <c r="AA55">
        <v>2.4128029935339399E-3</v>
      </c>
      <c r="AB55">
        <v>1.2816281348196399E-2</v>
      </c>
    </row>
    <row r="56" spans="1:28" x14ac:dyDescent="0.25">
      <c r="A56" t="s">
        <v>32</v>
      </c>
      <c r="B56" t="s">
        <v>29</v>
      </c>
      <c r="C56">
        <v>9.2147231283571998</v>
      </c>
      <c r="E56">
        <v>0.207792858780808</v>
      </c>
      <c r="F56">
        <v>8.45760320117781E-5</v>
      </c>
      <c r="G56">
        <v>7.6632803010169705E-5</v>
      </c>
      <c r="H56">
        <v>4.8983457369042901E-2</v>
      </c>
      <c r="I56">
        <v>0.16890910220081901</v>
      </c>
      <c r="J56">
        <v>1.14594011993974E-4</v>
      </c>
      <c r="K56">
        <v>4.0977172305441199E-2</v>
      </c>
      <c r="L56">
        <v>3.5290402668985499E-3</v>
      </c>
      <c r="M56">
        <v>1.77827336589819E-6</v>
      </c>
      <c r="N56">
        <v>6.1029968624906901E-2</v>
      </c>
      <c r="O56">
        <v>0.14918216586720801</v>
      </c>
      <c r="P56">
        <v>0.12740759402878399</v>
      </c>
      <c r="Q56">
        <v>0.91060377881694299</v>
      </c>
      <c r="R56">
        <v>0.31320412759372701</v>
      </c>
      <c r="S56">
        <v>3.7662984220953302</v>
      </c>
      <c r="T56">
        <v>0.56397934150986795</v>
      </c>
      <c r="U56">
        <v>7.6376519660415004E-2</v>
      </c>
      <c r="V56">
        <v>1.0777566556838001</v>
      </c>
      <c r="W56">
        <v>1.3684028397853401</v>
      </c>
      <c r="X56">
        <v>5.3460788769096601E-5</v>
      </c>
      <c r="Y56">
        <v>1.9441087443205701E-5</v>
      </c>
      <c r="Z56">
        <v>2.7128837723548998E-3</v>
      </c>
      <c r="AA56">
        <v>9.4989254591685193E-3</v>
      </c>
      <c r="AB56">
        <v>0.317727791539754</v>
      </c>
    </row>
    <row r="57" spans="1:28" x14ac:dyDescent="0.25">
      <c r="A57" t="s">
        <v>53</v>
      </c>
      <c r="B57" t="s">
        <v>52</v>
      </c>
      <c r="C57">
        <v>2.8153436148212498</v>
      </c>
      <c r="E57">
        <v>0.27600469179499998</v>
      </c>
      <c r="F57">
        <v>4.6910287532953102E-4</v>
      </c>
      <c r="G57">
        <v>2.4595267387411E-2</v>
      </c>
      <c r="H57">
        <v>9.5127782895863197E-2</v>
      </c>
      <c r="I57">
        <v>1.14981354511631E-2</v>
      </c>
      <c r="J57">
        <v>7.7992844292439999E-6</v>
      </c>
      <c r="K57">
        <v>3.2837731286842098E-3</v>
      </c>
      <c r="L57">
        <v>1.66946850859423E-3</v>
      </c>
      <c r="M57">
        <v>2.1121059866308399E-7</v>
      </c>
      <c r="N57">
        <v>8.0151411449127E-4</v>
      </c>
      <c r="O57">
        <v>3.0601225343111198E-2</v>
      </c>
      <c r="P57">
        <v>2.12249103557208E-2</v>
      </c>
      <c r="Q57">
        <v>0.46790786498862802</v>
      </c>
      <c r="R57">
        <v>8.5675307427466901E-2</v>
      </c>
      <c r="S57">
        <v>0.93562987520764795</v>
      </c>
      <c r="T57">
        <v>4.3377624716151003E-2</v>
      </c>
      <c r="U57">
        <v>1.52423633802512E-2</v>
      </c>
      <c r="V57">
        <v>7.2059212623877197E-2</v>
      </c>
      <c r="W57">
        <v>4.6453914443618301E-2</v>
      </c>
      <c r="X57">
        <v>1.20324769877878E-2</v>
      </c>
      <c r="Y57">
        <v>4.1431617651245198E-4</v>
      </c>
      <c r="Z57">
        <v>1.1777469238610099E-2</v>
      </c>
      <c r="AA57">
        <v>0.31230405598615302</v>
      </c>
      <c r="AB57">
        <v>0.34718525129414501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D62" sqref="D62"/>
    </sheetView>
  </sheetViews>
  <sheetFormatPr defaultRowHeight="13.2" x14ac:dyDescent="0.25"/>
  <sheetData>
    <row r="1" spans="1:7" x14ac:dyDescent="0.25">
      <c r="A1" t="s">
        <v>20</v>
      </c>
      <c r="B1" t="s">
        <v>40</v>
      </c>
      <c r="C1" t="s">
        <v>61</v>
      </c>
      <c r="D1" s="1">
        <v>43194</v>
      </c>
      <c r="E1" t="s">
        <v>17</v>
      </c>
      <c r="F1" s="2">
        <v>0.52360136574074101</v>
      </c>
    </row>
    <row r="2" spans="1:7" x14ac:dyDescent="0.25">
      <c r="A2" t="s">
        <v>41</v>
      </c>
      <c r="B2" t="s">
        <v>13</v>
      </c>
    </row>
    <row r="5" spans="1:7" x14ac:dyDescent="0.25">
      <c r="A5" t="s">
        <v>69</v>
      </c>
      <c r="B5" t="s">
        <v>27</v>
      </c>
    </row>
    <row r="6" spans="1:7" x14ac:dyDescent="0.25">
      <c r="A6" t="s">
        <v>39</v>
      </c>
      <c r="B6" t="s">
        <v>40</v>
      </c>
    </row>
    <row r="7" spans="1:7" x14ac:dyDescent="0.25">
      <c r="A7" t="s">
        <v>67</v>
      </c>
      <c r="B7" t="s">
        <v>96</v>
      </c>
    </row>
    <row r="8" spans="1:7" x14ac:dyDescent="0.25">
      <c r="A8" t="s">
        <v>49</v>
      </c>
      <c r="B8" t="s">
        <v>58</v>
      </c>
    </row>
    <row r="9" spans="1:7" x14ac:dyDescent="0.25">
      <c r="A9" t="s">
        <v>60</v>
      </c>
      <c r="B9" t="s">
        <v>62</v>
      </c>
    </row>
    <row r="11" spans="1:7" x14ac:dyDescent="0.25">
      <c r="A11" t="s">
        <v>22</v>
      </c>
      <c r="B11" t="s">
        <v>43</v>
      </c>
      <c r="C11" t="s">
        <v>48</v>
      </c>
      <c r="D11" t="s">
        <v>95</v>
      </c>
      <c r="E11" t="s">
        <v>94</v>
      </c>
      <c r="F11" t="s">
        <v>93</v>
      </c>
      <c r="G11" t="s">
        <v>92</v>
      </c>
    </row>
    <row r="12" spans="1:7" x14ac:dyDescent="0.25">
      <c r="A12" t="s">
        <v>18</v>
      </c>
      <c r="B12" t="s">
        <v>59</v>
      </c>
      <c r="C12">
        <v>51.405791962910499</v>
      </c>
      <c r="D12">
        <v>4.6922481052392602</v>
      </c>
      <c r="E12">
        <v>46.519244441395102</v>
      </c>
      <c r="F12">
        <v>5.9506766334364303E-2</v>
      </c>
      <c r="G12">
        <v>0.134792649941744</v>
      </c>
    </row>
    <row r="13" spans="1:7" x14ac:dyDescent="0.25">
      <c r="A13" t="s">
        <v>66</v>
      </c>
      <c r="B13" t="s">
        <v>0</v>
      </c>
      <c r="C13">
        <v>5.9153558301656502E-6</v>
      </c>
      <c r="D13">
        <v>2.9612203579501999E-7</v>
      </c>
      <c r="E13">
        <v>5.6084148148277402E-6</v>
      </c>
      <c r="F13">
        <v>1.04857583522921E-8</v>
      </c>
      <c r="G13">
        <v>3.3322119059671102E-10</v>
      </c>
    </row>
    <row r="14" spans="1:7" x14ac:dyDescent="0.25">
      <c r="A14" t="s">
        <v>47</v>
      </c>
      <c r="B14" t="s">
        <v>28</v>
      </c>
      <c r="C14">
        <v>0.240242137829142</v>
      </c>
      <c r="D14">
        <v>2.7818018011528601E-2</v>
      </c>
      <c r="E14">
        <v>0.21178786261143501</v>
      </c>
      <c r="F14">
        <v>6.1109161875409898E-4</v>
      </c>
      <c r="G14">
        <v>2.51655874240134E-5</v>
      </c>
    </row>
    <row r="15" spans="1:7" x14ac:dyDescent="0.25">
      <c r="A15" t="s">
        <v>45</v>
      </c>
      <c r="B15" t="s">
        <v>34</v>
      </c>
      <c r="C15">
        <v>5.0886179840309798E-2</v>
      </c>
      <c r="D15">
        <v>8.5242038689813202E-3</v>
      </c>
      <c r="E15">
        <v>4.2354560949404402E-2</v>
      </c>
      <c r="F15">
        <v>5.9777121575961303E-6</v>
      </c>
      <c r="G15">
        <v>1.4373097664971099E-6</v>
      </c>
    </row>
    <row r="16" spans="1:7" x14ac:dyDescent="0.25">
      <c r="A16" t="s">
        <v>15</v>
      </c>
      <c r="B16" t="s">
        <v>65</v>
      </c>
      <c r="C16">
        <v>1.79820865842822E-2</v>
      </c>
      <c r="D16">
        <v>4.1817381034145104E-3</v>
      </c>
      <c r="E16">
        <v>1.37721663150997E-2</v>
      </c>
      <c r="F16">
        <v>2.0046836462458499E-5</v>
      </c>
      <c r="G16">
        <v>8.1353293054770106E-6</v>
      </c>
    </row>
    <row r="17" spans="1:7" x14ac:dyDescent="0.25">
      <c r="A17" t="s">
        <v>56</v>
      </c>
      <c r="B17" t="s">
        <v>21</v>
      </c>
      <c r="C17">
        <v>42.838540890331899</v>
      </c>
      <c r="D17">
        <v>13.7093332222176</v>
      </c>
      <c r="E17">
        <v>28.985234666071101</v>
      </c>
      <c r="F17">
        <v>1.2222242618929799E-2</v>
      </c>
      <c r="G17">
        <v>0.13175075942431499</v>
      </c>
    </row>
    <row r="18" spans="1:7" x14ac:dyDescent="0.25">
      <c r="A18" t="s">
        <v>26</v>
      </c>
      <c r="B18" t="s">
        <v>3</v>
      </c>
      <c r="C18">
        <v>0.11893292043689201</v>
      </c>
      <c r="D18">
        <v>1.72765100192309E-2</v>
      </c>
      <c r="E18">
        <v>0.101069017828064</v>
      </c>
      <c r="F18">
        <v>5.4716932787964403E-4</v>
      </c>
      <c r="G18">
        <v>4.0223261717963698E-5</v>
      </c>
    </row>
    <row r="19" spans="1:7" x14ac:dyDescent="0.25">
      <c r="A19" t="s">
        <v>31</v>
      </c>
      <c r="B19" t="s">
        <v>5</v>
      </c>
      <c r="C19">
        <v>8.4064895000243695E-2</v>
      </c>
      <c r="D19">
        <v>1.30471157880754E-2</v>
      </c>
      <c r="E19">
        <v>7.0780139372302306E-2</v>
      </c>
      <c r="F19">
        <v>2.2719979087097901E-4</v>
      </c>
      <c r="G19">
        <v>1.0440048995066899E-5</v>
      </c>
    </row>
    <row r="20" spans="1:7" x14ac:dyDescent="0.25">
      <c r="A20" t="s">
        <v>64</v>
      </c>
      <c r="B20" t="s">
        <v>21</v>
      </c>
      <c r="C20">
        <v>3.97132970084557E-3</v>
      </c>
      <c r="D20">
        <v>6.86366146884724E-4</v>
      </c>
      <c r="E20">
        <v>3.0894460341740798E-3</v>
      </c>
      <c r="F20">
        <v>1.6690926860134E-5</v>
      </c>
      <c r="G20">
        <v>1.7882659292663001E-4</v>
      </c>
    </row>
    <row r="21" spans="1:7" x14ac:dyDescent="0.25">
      <c r="A21" t="s">
        <v>6</v>
      </c>
      <c r="B21" t="s">
        <v>21</v>
      </c>
      <c r="C21">
        <v>1.2564181968817001</v>
      </c>
      <c r="D21">
        <v>0.27601668155583903</v>
      </c>
      <c r="E21">
        <v>0.95021366493450199</v>
      </c>
      <c r="F21">
        <v>2.04214422312067E-4</v>
      </c>
      <c r="G21">
        <v>2.99836359690458E-2</v>
      </c>
    </row>
    <row r="22" spans="1:7" x14ac:dyDescent="0.25">
      <c r="A22" t="s">
        <v>14</v>
      </c>
      <c r="B22" t="s">
        <v>21</v>
      </c>
      <c r="C22">
        <v>1.1771386418646199</v>
      </c>
      <c r="D22">
        <v>0.262539335852079</v>
      </c>
      <c r="E22">
        <v>0.89508207222781999</v>
      </c>
      <c r="F22">
        <v>3.45593481923127E-4</v>
      </c>
      <c r="G22">
        <v>1.9171640302797499E-2</v>
      </c>
    </row>
    <row r="23" spans="1:7" x14ac:dyDescent="0.25">
      <c r="A23" t="s">
        <v>50</v>
      </c>
      <c r="B23" t="s">
        <v>68</v>
      </c>
      <c r="C23">
        <v>23.277720143431999</v>
      </c>
      <c r="D23">
        <v>0.323997612601858</v>
      </c>
      <c r="E23">
        <v>22.948705585020001</v>
      </c>
      <c r="F23">
        <v>4.8989430428902098E-3</v>
      </c>
      <c r="G23">
        <v>1.1800276720537499E-4</v>
      </c>
    </row>
    <row r="24" spans="1:7" x14ac:dyDescent="0.25">
      <c r="A24" t="s">
        <v>7</v>
      </c>
      <c r="B24" t="s">
        <v>10</v>
      </c>
      <c r="C24">
        <v>6.5594985108834898</v>
      </c>
      <c r="D24">
        <v>0.24275127240934899</v>
      </c>
      <c r="E24">
        <v>6.3159255144162101</v>
      </c>
      <c r="F24">
        <v>7.6972447597401395E-4</v>
      </c>
      <c r="G24">
        <v>5.1999581954623402E-5</v>
      </c>
    </row>
    <row r="25" spans="1:7" x14ac:dyDescent="0.25">
      <c r="A25" t="s">
        <v>24</v>
      </c>
      <c r="B25" t="s">
        <v>10</v>
      </c>
      <c r="C25">
        <v>0.38014683348141598</v>
      </c>
      <c r="D25">
        <v>8.5510275019216E-2</v>
      </c>
      <c r="E25">
        <v>0.29255813508267797</v>
      </c>
      <c r="F25">
        <v>2.03631024744902E-3</v>
      </c>
      <c r="G25">
        <v>4.2113132073473497E-5</v>
      </c>
    </row>
    <row r="26" spans="1:7" x14ac:dyDescent="0.25">
      <c r="A26" t="s">
        <v>46</v>
      </c>
      <c r="B26" t="s">
        <v>33</v>
      </c>
      <c r="C26">
        <v>5.6051788310099698E-3</v>
      </c>
      <c r="D26">
        <v>6.1295977857307596E-4</v>
      </c>
      <c r="E26">
        <v>4.9702728009641999E-3</v>
      </c>
      <c r="F26">
        <v>2.2681785160859999E-5</v>
      </c>
      <c r="G26">
        <v>-7.3553368816216796E-7</v>
      </c>
    </row>
    <row r="27" spans="1:7" x14ac:dyDescent="0.25">
      <c r="A27" t="s">
        <v>44</v>
      </c>
      <c r="B27" t="s">
        <v>73</v>
      </c>
      <c r="C27">
        <v>0.72406777063721495</v>
      </c>
      <c r="D27">
        <v>2.7416308147743301E-2</v>
      </c>
      <c r="E27">
        <v>0.69643733826273102</v>
      </c>
      <c r="F27">
        <v>1.74561638905176E-4</v>
      </c>
      <c r="G27">
        <v>3.95625878349274E-5</v>
      </c>
    </row>
    <row r="28" spans="1:7" x14ac:dyDescent="0.25">
      <c r="A28" t="s">
        <v>32</v>
      </c>
      <c r="B28" t="s">
        <v>29</v>
      </c>
      <c r="C28">
        <v>3.8012613449061301</v>
      </c>
      <c r="D28">
        <v>2.12499662007549</v>
      </c>
      <c r="E28">
        <v>1.6744007674507499</v>
      </c>
      <c r="F28">
        <v>1.7407066114203801E-3</v>
      </c>
      <c r="G28">
        <v>1.2325076846702001E-4</v>
      </c>
    </row>
    <row r="29" spans="1:7" x14ac:dyDescent="0.25">
      <c r="A29" t="s">
        <v>53</v>
      </c>
      <c r="B29" t="s">
        <v>52</v>
      </c>
      <c r="C29">
        <v>13.5309082845466</v>
      </c>
      <c r="D29">
        <v>1.0956581518898101</v>
      </c>
      <c r="E29">
        <v>12.4141275402459</v>
      </c>
      <c r="F29">
        <v>2.0752182550288999E-2</v>
      </c>
      <c r="G29">
        <v>3.7040986061238798E-4</v>
      </c>
    </row>
    <row r="33" spans="1:24" x14ac:dyDescent="0.25">
      <c r="A33" t="s">
        <v>103</v>
      </c>
    </row>
    <row r="34" spans="1:24" x14ac:dyDescent="0.25">
      <c r="A34" t="s">
        <v>69</v>
      </c>
      <c r="B34" t="s">
        <v>27</v>
      </c>
    </row>
    <row r="35" spans="1:24" x14ac:dyDescent="0.25">
      <c r="A35" t="s">
        <v>39</v>
      </c>
      <c r="B35" t="s">
        <v>40</v>
      </c>
    </row>
    <row r="36" spans="1:24" x14ac:dyDescent="0.25">
      <c r="A36" t="s">
        <v>67</v>
      </c>
      <c r="B36" t="s">
        <v>79</v>
      </c>
    </row>
    <row r="37" spans="1:24" x14ac:dyDescent="0.25">
      <c r="A37" t="s">
        <v>49</v>
      </c>
      <c r="B37" t="s">
        <v>58</v>
      </c>
    </row>
    <row r="38" spans="1:24" x14ac:dyDescent="0.25">
      <c r="A38" t="s">
        <v>60</v>
      </c>
      <c r="B38" t="s">
        <v>62</v>
      </c>
    </row>
    <row r="40" spans="1:24" x14ac:dyDescent="0.25">
      <c r="A40" t="s">
        <v>22</v>
      </c>
      <c r="B40" t="s">
        <v>43</v>
      </c>
      <c r="C40" t="s">
        <v>48</v>
      </c>
      <c r="E40" t="s">
        <v>30</v>
      </c>
      <c r="F40" t="s">
        <v>77</v>
      </c>
      <c r="G40" t="s">
        <v>4</v>
      </c>
      <c r="H40" t="s">
        <v>11</v>
      </c>
      <c r="I40" t="s">
        <v>51</v>
      </c>
      <c r="J40" t="s">
        <v>9</v>
      </c>
      <c r="K40" t="s">
        <v>12</v>
      </c>
      <c r="L40" t="s">
        <v>12</v>
      </c>
      <c r="M40" t="s">
        <v>25</v>
      </c>
      <c r="N40" t="s">
        <v>57</v>
      </c>
      <c r="O40" t="s">
        <v>36</v>
      </c>
      <c r="P40" t="s">
        <v>37</v>
      </c>
      <c r="Q40" t="s">
        <v>71</v>
      </c>
      <c r="R40" t="s">
        <v>75</v>
      </c>
      <c r="S40" t="s">
        <v>74</v>
      </c>
      <c r="T40" t="s">
        <v>1</v>
      </c>
      <c r="U40" t="s">
        <v>35</v>
      </c>
      <c r="V40" t="s">
        <v>8</v>
      </c>
      <c r="W40" t="s">
        <v>2</v>
      </c>
      <c r="X40" t="s">
        <v>63</v>
      </c>
    </row>
    <row r="41" spans="1:24" x14ac:dyDescent="0.25">
      <c r="A41" t="s">
        <v>18</v>
      </c>
      <c r="B41" t="s">
        <v>59</v>
      </c>
      <c r="C41">
        <v>4.69224810533444</v>
      </c>
      <c r="E41">
        <v>0.92969451132235503</v>
      </c>
      <c r="F41">
        <v>6.3053166041646305E-2</v>
      </c>
      <c r="G41">
        <v>1.99747658545106E-5</v>
      </c>
      <c r="H41">
        <v>3.1710317831158698E-3</v>
      </c>
      <c r="I41">
        <v>0.105447045594714</v>
      </c>
      <c r="J41">
        <v>5.3227537859002201E-2</v>
      </c>
      <c r="K41">
        <v>0.42282437837959103</v>
      </c>
      <c r="L41">
        <v>0.84516107004824803</v>
      </c>
      <c r="M41">
        <v>3.7351214832057202E-2</v>
      </c>
      <c r="N41">
        <v>1.83771551780807E-3</v>
      </c>
      <c r="O41">
        <v>0.128213812103045</v>
      </c>
      <c r="P41">
        <v>4.2565877449696997E-2</v>
      </c>
      <c r="Q41">
        <v>2.1588341790871001E-2</v>
      </c>
      <c r="R41">
        <v>9.9945679414348895E-3</v>
      </c>
      <c r="S41">
        <v>1.6990197194228802E-2</v>
      </c>
      <c r="T41">
        <v>2.62247719788542E-2</v>
      </c>
      <c r="U41">
        <v>6.2649663777066705E-4</v>
      </c>
      <c r="V41">
        <v>1.9182598212786499E-2</v>
      </c>
      <c r="W41">
        <v>1.5741155451419999</v>
      </c>
      <c r="X41">
        <v>0.39095825073935597</v>
      </c>
    </row>
    <row r="42" spans="1:24" x14ac:dyDescent="0.25">
      <c r="A42" t="s">
        <v>66</v>
      </c>
      <c r="B42" t="s">
        <v>0</v>
      </c>
      <c r="C42">
        <v>2.9612203465391002E-7</v>
      </c>
      <c r="E42">
        <v>3.65156329794385E-8</v>
      </c>
      <c r="F42">
        <v>1.6129409516897601E-8</v>
      </c>
      <c r="G42">
        <v>2.0445006026545401E-12</v>
      </c>
      <c r="H42">
        <v>1.7959210084762399E-10</v>
      </c>
      <c r="I42">
        <v>2.4764214942084799E-10</v>
      </c>
      <c r="J42">
        <v>1.75859356760282E-8</v>
      </c>
      <c r="K42">
        <v>4.6758735889311902E-8</v>
      </c>
      <c r="L42">
        <v>9.3463540133999297E-8</v>
      </c>
      <c r="M42">
        <v>4.3564390430536404E-9</v>
      </c>
      <c r="N42">
        <v>3.1757502836993099E-10</v>
      </c>
      <c r="O42">
        <v>1.0799450177515099E-8</v>
      </c>
      <c r="P42">
        <v>2.9134039941258901E-9</v>
      </c>
      <c r="Q42">
        <v>3.4238701653955101E-9</v>
      </c>
      <c r="R42">
        <v>1.5032791142881101E-9</v>
      </c>
      <c r="S42">
        <v>2.4083448873378698E-9</v>
      </c>
      <c r="T42">
        <v>1.5794846622846001E-8</v>
      </c>
      <c r="U42">
        <v>3.0429805208650599E-11</v>
      </c>
      <c r="V42">
        <v>1.7002124419673401E-9</v>
      </c>
      <c r="W42">
        <v>8.3336792795134898E-9</v>
      </c>
      <c r="X42">
        <v>3.3657971147741601E-8</v>
      </c>
    </row>
    <row r="43" spans="1:24" x14ac:dyDescent="0.25">
      <c r="A43" t="s">
        <v>47</v>
      </c>
      <c r="B43" t="s">
        <v>28</v>
      </c>
      <c r="C43">
        <v>2.7818017968635401E-2</v>
      </c>
      <c r="E43">
        <v>4.89632079330375E-3</v>
      </c>
      <c r="F43">
        <v>3.7657857391809499E-4</v>
      </c>
      <c r="G43">
        <v>2.5927419584280899E-7</v>
      </c>
      <c r="H43">
        <v>1.4426247283436201E-5</v>
      </c>
      <c r="I43">
        <v>4.7396522036488402E-4</v>
      </c>
      <c r="J43">
        <v>1.55542726860001E-4</v>
      </c>
      <c r="K43">
        <v>3.0082406098243899E-3</v>
      </c>
      <c r="L43">
        <v>6.0130115072960302E-3</v>
      </c>
      <c r="M43">
        <v>2.11869573466094E-4</v>
      </c>
      <c r="N43">
        <v>6.8312896216844802E-5</v>
      </c>
      <c r="O43">
        <v>7.5943858977010404E-4</v>
      </c>
      <c r="P43">
        <v>2.6442961208284301E-4</v>
      </c>
      <c r="Q43">
        <v>5.4174548641026802E-4</v>
      </c>
      <c r="R43">
        <v>1.08679509585971E-4</v>
      </c>
      <c r="S43">
        <v>1.6835580071377799E-4</v>
      </c>
      <c r="T43">
        <v>6.2488715807284395E-4</v>
      </c>
      <c r="U43">
        <v>2.3583668092617801E-6</v>
      </c>
      <c r="V43">
        <v>8.9348563279648496E-5</v>
      </c>
      <c r="W43">
        <v>7.2654095211766596E-3</v>
      </c>
      <c r="X43">
        <v>2.7748379380046601E-3</v>
      </c>
    </row>
    <row r="44" spans="1:24" x14ac:dyDescent="0.25">
      <c r="A44" t="s">
        <v>45</v>
      </c>
      <c r="B44" t="s">
        <v>34</v>
      </c>
      <c r="C44">
        <v>8.5242037883872107E-3</v>
      </c>
      <c r="E44">
        <v>5.9310277546989996E-4</v>
      </c>
      <c r="F44">
        <v>2.4913135681406201E-5</v>
      </c>
      <c r="G44">
        <v>9.0738409754245004E-8</v>
      </c>
      <c r="H44">
        <v>3.0699353653087701E-6</v>
      </c>
      <c r="I44">
        <v>4.3570750534042103E-6</v>
      </c>
      <c r="J44">
        <v>1.51481926258402E-6</v>
      </c>
      <c r="K44">
        <v>2.14799745742186E-3</v>
      </c>
      <c r="L44">
        <v>4.2935174091258098E-3</v>
      </c>
      <c r="M44">
        <v>2.6422278832983201E-5</v>
      </c>
      <c r="N44">
        <v>2.8373050468012201E-6</v>
      </c>
      <c r="O44">
        <v>1.4021721423806201E-4</v>
      </c>
      <c r="P44">
        <v>1.29757757781474E-4</v>
      </c>
      <c r="Q44">
        <v>4.4028949631807899E-4</v>
      </c>
      <c r="R44">
        <v>1.47664823432521E-5</v>
      </c>
      <c r="S44">
        <v>2.38272040439895E-5</v>
      </c>
      <c r="T44">
        <v>1.3952018483511601E-4</v>
      </c>
      <c r="U44">
        <v>9.8118310387988304E-8</v>
      </c>
      <c r="V44">
        <v>9.6883528603962005E-6</v>
      </c>
      <c r="W44">
        <v>2.1515973707077901E-4</v>
      </c>
      <c r="X44">
        <v>3.1305631091587202E-4</v>
      </c>
    </row>
    <row r="45" spans="1:24" x14ac:dyDescent="0.25">
      <c r="A45" t="s">
        <v>15</v>
      </c>
      <c r="B45" t="s">
        <v>65</v>
      </c>
      <c r="C45">
        <v>4.1817380940289096E-3</v>
      </c>
      <c r="E45">
        <v>2.11059182775551E-4</v>
      </c>
      <c r="F45">
        <v>1.8487075035371899E-5</v>
      </c>
      <c r="G45">
        <v>2.60768318565427E-8</v>
      </c>
      <c r="H45">
        <v>7.0725244733475099E-7</v>
      </c>
      <c r="I45">
        <v>2.8406802808956302E-5</v>
      </c>
      <c r="J45">
        <v>3.4616745333467699E-6</v>
      </c>
      <c r="K45">
        <v>2.3838100215524299E-4</v>
      </c>
      <c r="L45">
        <v>4.7648705505771001E-4</v>
      </c>
      <c r="M45">
        <v>1.20905300540604E-5</v>
      </c>
      <c r="N45">
        <v>8.2358229617762703E-7</v>
      </c>
      <c r="O45">
        <v>4.6941863427470597E-5</v>
      </c>
      <c r="P45">
        <v>2.2834740231206401E-5</v>
      </c>
      <c r="Q45">
        <v>3.2411468899451797E-5</v>
      </c>
      <c r="R45">
        <v>4.7791057472117196E-6</v>
      </c>
      <c r="S45">
        <v>8.1102838250095107E-6</v>
      </c>
      <c r="T45">
        <v>3.76111477779977E-5</v>
      </c>
      <c r="U45">
        <v>1.75404120825857E-7</v>
      </c>
      <c r="V45">
        <v>1.7985417791314499E-5</v>
      </c>
      <c r="W45">
        <v>1.99105237569884E-4</v>
      </c>
      <c r="X45">
        <v>2.8218531906429299E-3</v>
      </c>
    </row>
    <row r="46" spans="1:24" x14ac:dyDescent="0.25">
      <c r="A46" t="s">
        <v>56</v>
      </c>
      <c r="B46" t="s">
        <v>21</v>
      </c>
      <c r="C46">
        <v>13.709333076738799</v>
      </c>
      <c r="E46">
        <v>0.76878241757993704</v>
      </c>
      <c r="F46">
        <v>3.1712563625627299E-2</v>
      </c>
      <c r="G46">
        <v>1.6782195673081701E-4</v>
      </c>
      <c r="H46">
        <v>5.1124378603028204E-3</v>
      </c>
      <c r="I46">
        <v>1.6331681592597E-3</v>
      </c>
      <c r="J46">
        <v>4.18978550026181E-3</v>
      </c>
      <c r="K46">
        <v>3.49589241602912</v>
      </c>
      <c r="L46">
        <v>6.9877526608747997</v>
      </c>
      <c r="M46">
        <v>3.5889759804504602E-2</v>
      </c>
      <c r="N46">
        <v>4.3488911871062902E-3</v>
      </c>
      <c r="O46">
        <v>0.20195267185143101</v>
      </c>
      <c r="P46">
        <v>0.20047157830940901</v>
      </c>
      <c r="Q46">
        <v>0.73966806351912795</v>
      </c>
      <c r="R46">
        <v>2.6339741400126099E-2</v>
      </c>
      <c r="S46">
        <v>4.1076457038115403E-2</v>
      </c>
      <c r="T46">
        <v>0.30563583469348299</v>
      </c>
      <c r="U46">
        <v>1.1504750529787599E-4</v>
      </c>
      <c r="V46">
        <v>6.9216080117290796E-3</v>
      </c>
      <c r="W46">
        <v>0.17708421371663599</v>
      </c>
      <c r="X46">
        <v>0.67458593811577605</v>
      </c>
    </row>
    <row r="47" spans="1:24" x14ac:dyDescent="0.25">
      <c r="A47" t="s">
        <v>26</v>
      </c>
      <c r="B47" t="s">
        <v>3</v>
      </c>
      <c r="C47">
        <v>1.7276509999582999E-2</v>
      </c>
      <c r="E47">
        <v>3.15524285904707E-3</v>
      </c>
      <c r="F47">
        <v>2.21309638059658E-4</v>
      </c>
      <c r="G47">
        <v>2.79145767633822E-7</v>
      </c>
      <c r="H47">
        <v>1.3775595465145201E-5</v>
      </c>
      <c r="I47">
        <v>4.2502111963458401E-4</v>
      </c>
      <c r="J47">
        <v>1.3066908113230401E-4</v>
      </c>
      <c r="K47">
        <v>1.8810620142330401E-3</v>
      </c>
      <c r="L47">
        <v>3.75995440676568E-3</v>
      </c>
      <c r="M47">
        <v>2.2845033035526999E-4</v>
      </c>
      <c r="N47">
        <v>1.66897321152112E-5</v>
      </c>
      <c r="O47">
        <v>7.8958937353130196E-4</v>
      </c>
      <c r="P47">
        <v>1.66836230228259E-4</v>
      </c>
      <c r="Q47">
        <v>2.1833135422890301E-4</v>
      </c>
      <c r="R47">
        <v>4.2345143100362E-5</v>
      </c>
      <c r="S47">
        <v>9.7456207937448195E-5</v>
      </c>
      <c r="T47">
        <v>1.9502794495527301E-4</v>
      </c>
      <c r="U47">
        <v>2.7387818662904599E-6</v>
      </c>
      <c r="V47">
        <v>6.1425357353194103E-5</v>
      </c>
      <c r="W47">
        <v>4.3703543543376798E-3</v>
      </c>
      <c r="X47">
        <v>1.4999513294686601E-3</v>
      </c>
    </row>
    <row r="48" spans="1:24" x14ac:dyDescent="0.25">
      <c r="A48" t="s">
        <v>31</v>
      </c>
      <c r="B48" t="s">
        <v>5</v>
      </c>
      <c r="C48">
        <v>1.30471157770881E-2</v>
      </c>
      <c r="E48">
        <v>2.2510134529243699E-3</v>
      </c>
      <c r="F48">
        <v>1.85404709661164E-4</v>
      </c>
      <c r="G48">
        <v>1.0613001424677E-7</v>
      </c>
      <c r="H48">
        <v>1.38224029944394E-5</v>
      </c>
      <c r="I48">
        <v>1.3699785561019701E-4</v>
      </c>
      <c r="J48">
        <v>7.8514648556756694E-5</v>
      </c>
      <c r="K48">
        <v>1.5266476602944299E-3</v>
      </c>
      <c r="L48">
        <v>3.05153448130364E-3</v>
      </c>
      <c r="M48">
        <v>1.2300765348139899E-4</v>
      </c>
      <c r="N48">
        <v>1.7822880020145402E-5</v>
      </c>
      <c r="O48">
        <v>4.2640581460121399E-4</v>
      </c>
      <c r="P48">
        <v>1.78863100809289E-4</v>
      </c>
      <c r="Q48">
        <v>1.58725106588009E-4</v>
      </c>
      <c r="R48">
        <v>5.0381545565481102E-5</v>
      </c>
      <c r="S48">
        <v>8.2475704068778999E-5</v>
      </c>
      <c r="T48">
        <v>2.2625094691656699E-4</v>
      </c>
      <c r="U48">
        <v>1.00800728338898E-6</v>
      </c>
      <c r="V48">
        <v>4.1120722167890903E-5</v>
      </c>
      <c r="W48">
        <v>3.2759812431814501E-3</v>
      </c>
      <c r="X48">
        <v>1.2210317110452099E-3</v>
      </c>
    </row>
    <row r="49" spans="1:24" x14ac:dyDescent="0.25">
      <c r="A49" t="s">
        <v>64</v>
      </c>
      <c r="B49" t="s">
        <v>21</v>
      </c>
      <c r="C49">
        <v>6.8636614449831196E-4</v>
      </c>
      <c r="E49">
        <v>4.8213162404752997E-5</v>
      </c>
      <c r="F49">
        <v>4.44820609673424E-5</v>
      </c>
      <c r="G49">
        <v>4.6999012593528698E-9</v>
      </c>
      <c r="H49">
        <v>5.1673956711310899E-7</v>
      </c>
      <c r="I49">
        <v>8.7499835607336201E-7</v>
      </c>
      <c r="J49">
        <v>1.08348202158467E-6</v>
      </c>
      <c r="K49">
        <v>1.4188878703885201E-4</v>
      </c>
      <c r="L49">
        <v>2.8361391919069198E-4</v>
      </c>
      <c r="M49">
        <v>4.18823750779694E-6</v>
      </c>
      <c r="N49">
        <v>2.1464742637972801E-7</v>
      </c>
      <c r="O49">
        <v>1.1309305496432399E-5</v>
      </c>
      <c r="P49">
        <v>3.7258654430319902E-6</v>
      </c>
      <c r="Q49">
        <v>6.8103796696516698E-6</v>
      </c>
      <c r="R49">
        <v>2.3478290597906699E-6</v>
      </c>
      <c r="S49">
        <v>3.5744484002317002E-6</v>
      </c>
      <c r="T49">
        <v>2.4362862277610999E-5</v>
      </c>
      <c r="U49">
        <v>3.4341342177724002E-8</v>
      </c>
      <c r="V49">
        <v>3.8159967109116699E-5</v>
      </c>
      <c r="W49">
        <v>1.9348583359900901E-5</v>
      </c>
      <c r="X49">
        <v>5.1611827958521097E-5</v>
      </c>
    </row>
    <row r="50" spans="1:24" x14ac:dyDescent="0.25">
      <c r="A50" t="s">
        <v>6</v>
      </c>
      <c r="B50" t="s">
        <v>21</v>
      </c>
      <c r="C50">
        <v>0.276016678692457</v>
      </c>
      <c r="E50">
        <v>1.77302033290191E-2</v>
      </c>
      <c r="F50">
        <v>8.3315059852355695E-4</v>
      </c>
      <c r="G50">
        <v>2.9878723571361002E-6</v>
      </c>
      <c r="H50">
        <v>1.5402070877881401E-4</v>
      </c>
      <c r="I50">
        <v>1.47072380170248E-4</v>
      </c>
      <c r="J50">
        <v>4.5508545145460598E-5</v>
      </c>
      <c r="K50">
        <v>6.9644146720751296E-2</v>
      </c>
      <c r="L50">
        <v>0.13920796570595401</v>
      </c>
      <c r="M50">
        <v>7.9044483337722005E-4</v>
      </c>
      <c r="N50">
        <v>1.00633695567004E-4</v>
      </c>
      <c r="O50">
        <v>4.3466621976869001E-3</v>
      </c>
      <c r="P50">
        <v>4.0883900446368696E-3</v>
      </c>
      <c r="Q50">
        <v>1.4707971324911501E-2</v>
      </c>
      <c r="R50">
        <v>4.8177084158020501E-4</v>
      </c>
      <c r="S50">
        <v>7.5376888904014297E-4</v>
      </c>
      <c r="T50">
        <v>5.14353349987155E-3</v>
      </c>
      <c r="U50">
        <v>2.9139541427856898E-6</v>
      </c>
      <c r="V50">
        <v>2.26787259492681E-4</v>
      </c>
      <c r="W50">
        <v>7.6056374038750698E-3</v>
      </c>
      <c r="X50">
        <v>1.00031088875754E-2</v>
      </c>
    </row>
    <row r="51" spans="1:24" x14ac:dyDescent="0.25">
      <c r="A51" t="s">
        <v>14</v>
      </c>
      <c r="B51" t="s">
        <v>21</v>
      </c>
      <c r="C51">
        <v>0.262539333210834</v>
      </c>
      <c r="E51">
        <v>1.65331672156467E-2</v>
      </c>
      <c r="F51">
        <v>8.2672153123750905E-4</v>
      </c>
      <c r="G51">
        <v>2.74098050980197E-6</v>
      </c>
      <c r="H51">
        <v>1.48911597256246E-4</v>
      </c>
      <c r="I51">
        <v>1.3039373099091301E-4</v>
      </c>
      <c r="J51">
        <v>4.2090912418652899E-5</v>
      </c>
      <c r="K51">
        <v>6.5564178648937793E-2</v>
      </c>
      <c r="L51">
        <v>0.131052735407853</v>
      </c>
      <c r="M51">
        <v>7.7524130287540897E-4</v>
      </c>
      <c r="N51">
        <v>1.42183029910167E-4</v>
      </c>
      <c r="O51">
        <v>6.3919722650762796E-3</v>
      </c>
      <c r="P51">
        <v>3.6948215430371799E-3</v>
      </c>
      <c r="Q51">
        <v>1.36223003763088E-2</v>
      </c>
      <c r="R51">
        <v>4.9734924461069196E-4</v>
      </c>
      <c r="S51">
        <v>7.7480067389611401E-4</v>
      </c>
      <c r="T51">
        <v>5.4460717199296804E-3</v>
      </c>
      <c r="U51">
        <v>2.85614208208991E-6</v>
      </c>
      <c r="V51">
        <v>2.0511664237673601E-4</v>
      </c>
      <c r="W51">
        <v>7.0552852810380103E-3</v>
      </c>
      <c r="X51">
        <v>9.6303949648426507E-3</v>
      </c>
    </row>
    <row r="52" spans="1:24" x14ac:dyDescent="0.25">
      <c r="A52" t="s">
        <v>50</v>
      </c>
      <c r="B52" t="s">
        <v>68</v>
      </c>
      <c r="C52">
        <v>0.32399761284410999</v>
      </c>
      <c r="E52">
        <v>5.2312887214626902E-2</v>
      </c>
      <c r="F52">
        <v>1.4249366997679799E-2</v>
      </c>
      <c r="G52">
        <v>8.5876636641292296E-7</v>
      </c>
      <c r="H52">
        <v>1.63939428515768E-4</v>
      </c>
      <c r="I52">
        <v>1.06661959145819E-4</v>
      </c>
      <c r="J52">
        <v>5.3012409505917301E-5</v>
      </c>
      <c r="K52">
        <v>5.2714685248175998E-2</v>
      </c>
      <c r="L52">
        <v>0.105368569244624</v>
      </c>
      <c r="M52">
        <v>4.23182054302305E-3</v>
      </c>
      <c r="N52">
        <v>2.09225367297977E-4</v>
      </c>
      <c r="O52">
        <v>1.33204273910926E-2</v>
      </c>
      <c r="P52">
        <v>5.1909341769133003E-3</v>
      </c>
      <c r="Q52">
        <v>2.3206085332641698E-3</v>
      </c>
      <c r="R52">
        <v>1.3569961849502199E-3</v>
      </c>
      <c r="S52">
        <v>2.5036699775028599E-3</v>
      </c>
      <c r="T52">
        <v>4.3167541721338401E-3</v>
      </c>
      <c r="U52">
        <v>1.6972724084220001E-5</v>
      </c>
      <c r="V52">
        <v>1.9141578766820901E-3</v>
      </c>
      <c r="W52">
        <v>2.69321012939308E-2</v>
      </c>
      <c r="X52">
        <v>3.6713963334594202E-2</v>
      </c>
    </row>
    <row r="53" spans="1:24" x14ac:dyDescent="0.25">
      <c r="A53" t="s">
        <v>7</v>
      </c>
      <c r="B53" t="s">
        <v>10</v>
      </c>
      <c r="C53">
        <v>0.242751272422006</v>
      </c>
      <c r="E53">
        <v>3.0193673759585399E-2</v>
      </c>
      <c r="F53">
        <v>9.4227848473221795E-3</v>
      </c>
      <c r="G53">
        <v>9.2825394926287699E-7</v>
      </c>
      <c r="H53">
        <v>1.12612530710675E-4</v>
      </c>
      <c r="I53">
        <v>4.2614523742862897E-5</v>
      </c>
      <c r="J53">
        <v>1.7346041146031999E-5</v>
      </c>
      <c r="K53">
        <v>2.4817631263108399E-2</v>
      </c>
      <c r="L53">
        <v>4.9606637807343403E-2</v>
      </c>
      <c r="M53">
        <v>2.7608836634479298E-3</v>
      </c>
      <c r="N53">
        <v>1.4499937930451801E-4</v>
      </c>
      <c r="O53">
        <v>1.02496516728893E-2</v>
      </c>
      <c r="P53">
        <v>2.61418883741795E-3</v>
      </c>
      <c r="Q53">
        <v>1.2970422246486701E-3</v>
      </c>
      <c r="R53">
        <v>9.96031634060184E-4</v>
      </c>
      <c r="S53">
        <v>1.1995850661789501E-3</v>
      </c>
      <c r="T53">
        <v>3.2503008846013798E-3</v>
      </c>
      <c r="U53">
        <v>1.1308715114971101E-5</v>
      </c>
      <c r="V53">
        <v>1.9852270456120501E-2</v>
      </c>
      <c r="W53">
        <v>2.2197357239523801E-2</v>
      </c>
      <c r="X53">
        <v>6.3963423621789306E-2</v>
      </c>
    </row>
    <row r="54" spans="1:24" x14ac:dyDescent="0.25">
      <c r="A54" t="s">
        <v>24</v>
      </c>
      <c r="B54" t="s">
        <v>10</v>
      </c>
      <c r="C54">
        <v>8.5510274627698599E-2</v>
      </c>
      <c r="E54">
        <v>1.3079643787313701E-2</v>
      </c>
      <c r="F54">
        <v>6.7478458431955996E-4</v>
      </c>
      <c r="G54">
        <v>6.0380085725674604E-7</v>
      </c>
      <c r="H54">
        <v>5.0458341542781501E-5</v>
      </c>
      <c r="I54">
        <v>6.5014387813877296E-5</v>
      </c>
      <c r="J54">
        <v>3.7898896450702003E-5</v>
      </c>
      <c r="K54">
        <v>1.46725625311957E-2</v>
      </c>
      <c r="L54">
        <v>2.9328201691536399E-2</v>
      </c>
      <c r="M54">
        <v>4.6227385985730501E-4</v>
      </c>
      <c r="N54">
        <v>4.846054947685E-5</v>
      </c>
      <c r="O54">
        <v>2.6338014966716698E-3</v>
      </c>
      <c r="P54">
        <v>6.9935268251396102E-4</v>
      </c>
      <c r="Q54">
        <v>2.5874307056633901E-3</v>
      </c>
      <c r="R54">
        <v>1.9098859540285401E-4</v>
      </c>
      <c r="S54">
        <v>2.2768545722391499E-4</v>
      </c>
      <c r="T54">
        <v>7.8350955946647201E-4</v>
      </c>
      <c r="U54">
        <v>3.6043123500703199E-6</v>
      </c>
      <c r="V54">
        <v>4.2182638120408602E-4</v>
      </c>
      <c r="W54">
        <v>1.31637844246468E-2</v>
      </c>
      <c r="X54">
        <v>6.3783885821912297E-3</v>
      </c>
    </row>
    <row r="55" spans="1:24" x14ac:dyDescent="0.25">
      <c r="A55" t="s">
        <v>46</v>
      </c>
      <c r="B55" t="s">
        <v>33</v>
      </c>
      <c r="C55">
        <v>6.1295977668591301E-4</v>
      </c>
      <c r="E55">
        <v>8.7409949352812498E-5</v>
      </c>
      <c r="F55">
        <v>1.4805305085865199E-5</v>
      </c>
      <c r="G55">
        <v>6.5776888139240796E-9</v>
      </c>
      <c r="H55">
        <v>4.2229326959999399E-7</v>
      </c>
      <c r="I55">
        <v>3.6241154285370101E-7</v>
      </c>
      <c r="J55">
        <v>1.9165446857335301E-7</v>
      </c>
      <c r="K55">
        <v>9.3805146455987895E-5</v>
      </c>
      <c r="L55">
        <v>1.8750209781802401E-4</v>
      </c>
      <c r="M55">
        <v>8.6501009112873492E-6</v>
      </c>
      <c r="N55">
        <v>4.3433486471647898E-7</v>
      </c>
      <c r="O55">
        <v>2.5466543765289401E-5</v>
      </c>
      <c r="P55">
        <v>7.5140128515649198E-6</v>
      </c>
      <c r="Q55">
        <v>9.5660087070458701E-6</v>
      </c>
      <c r="R55">
        <v>4.1107017021467399E-6</v>
      </c>
      <c r="S55">
        <v>5.6547577583466304E-6</v>
      </c>
      <c r="T55">
        <v>5.5483949961480302E-6</v>
      </c>
      <c r="U55">
        <v>5.6248573848107801E-8</v>
      </c>
      <c r="V55">
        <v>4.1075356766596704E-6</v>
      </c>
      <c r="W55">
        <v>6.6436297245138997E-5</v>
      </c>
      <c r="X55">
        <v>9.0909403951190294E-5</v>
      </c>
    </row>
    <row r="56" spans="1:24" x14ac:dyDescent="0.25">
      <c r="A56" t="s">
        <v>44</v>
      </c>
      <c r="B56" t="s">
        <v>73</v>
      </c>
      <c r="C56">
        <v>2.74163081215682E-2</v>
      </c>
      <c r="E56">
        <v>5.8357139715731199E-3</v>
      </c>
      <c r="F56">
        <v>7.9807972131270102E-4</v>
      </c>
      <c r="G56">
        <v>2.8987627512954102E-7</v>
      </c>
      <c r="H56">
        <v>2.3676137592116599E-5</v>
      </c>
      <c r="I56">
        <v>4.2096866845808199E-4</v>
      </c>
      <c r="J56">
        <v>3.5801670127491299E-4</v>
      </c>
      <c r="K56">
        <v>3.71608231920414E-3</v>
      </c>
      <c r="L56">
        <v>7.4278784996318096E-3</v>
      </c>
      <c r="M56">
        <v>3.7000737045976301E-4</v>
      </c>
      <c r="N56">
        <v>1.9169596199449699E-5</v>
      </c>
      <c r="O56">
        <v>1.22233075276443E-3</v>
      </c>
      <c r="P56">
        <v>4.7525703848931501E-4</v>
      </c>
      <c r="Q56">
        <v>1.96304660359594E-4</v>
      </c>
      <c r="R56">
        <v>9.3521953263183899E-5</v>
      </c>
      <c r="S56">
        <v>1.9492754296251001E-4</v>
      </c>
      <c r="T56">
        <v>3.4029339491727599E-4</v>
      </c>
      <c r="U56">
        <v>1.11612534142018E-5</v>
      </c>
      <c r="V56">
        <v>1.7506750242645601E-4</v>
      </c>
      <c r="W56">
        <v>2.41260997863973E-3</v>
      </c>
      <c r="X56">
        <v>3.32495118235023E-3</v>
      </c>
    </row>
    <row r="57" spans="1:24" x14ac:dyDescent="0.25">
      <c r="A57" t="s">
        <v>32</v>
      </c>
      <c r="B57" t="s">
        <v>29</v>
      </c>
      <c r="C57">
        <v>2.1249966045470101</v>
      </c>
      <c r="E57">
        <v>0.15758592257965701</v>
      </c>
      <c r="F57">
        <v>7.9221045901090009E-3</v>
      </c>
      <c r="G57">
        <v>5.6212463983094699E-5</v>
      </c>
      <c r="H57">
        <v>4.7828289387549299E-3</v>
      </c>
      <c r="I57">
        <v>1.16710417126334E-4</v>
      </c>
      <c r="J57">
        <v>4.67529137378166E-5</v>
      </c>
      <c r="K57">
        <v>0.43538409773972397</v>
      </c>
      <c r="L57">
        <v>0.87026602235633499</v>
      </c>
      <c r="M57">
        <v>4.3903715217263398E-2</v>
      </c>
      <c r="N57">
        <v>2.9510318908099798E-3</v>
      </c>
      <c r="O57">
        <v>6.4327731587867795E-2</v>
      </c>
      <c r="P57">
        <v>3.9904100476759803E-2</v>
      </c>
      <c r="Q57">
        <v>7.7241883551953897E-2</v>
      </c>
      <c r="R57">
        <v>4.0471411061348703E-2</v>
      </c>
      <c r="S57">
        <v>6.1835256533498403E-2</v>
      </c>
      <c r="T57">
        <v>0.22493546890461599</v>
      </c>
      <c r="U57">
        <v>1.94410874971949E-5</v>
      </c>
      <c r="V57">
        <v>1.3190480830656899E-3</v>
      </c>
      <c r="W57">
        <v>9.4981655852586291E-3</v>
      </c>
      <c r="X57">
        <v>8.2428698567640096E-2</v>
      </c>
    </row>
    <row r="58" spans="1:24" x14ac:dyDescent="0.25">
      <c r="A58" t="s">
        <v>53</v>
      </c>
      <c r="B58" t="s">
        <v>52</v>
      </c>
      <c r="C58">
        <v>1.09565815072283</v>
      </c>
      <c r="E58">
        <v>0.22044356423459399</v>
      </c>
      <c r="F58">
        <v>1.5385035816850299E-2</v>
      </c>
      <c r="G58">
        <v>5.0556221901766502E-6</v>
      </c>
      <c r="H58">
        <v>7.2330198208078896E-4</v>
      </c>
      <c r="I58">
        <v>3.6488485812970997E-2</v>
      </c>
      <c r="J58">
        <v>1.5005328854487699E-2</v>
      </c>
      <c r="K58">
        <v>0.108158812781632</v>
      </c>
      <c r="L58">
        <v>0.21619287491414901</v>
      </c>
      <c r="M58">
        <v>9.8389032132430807E-3</v>
      </c>
      <c r="N58">
        <v>4.9161424259922795E-4</v>
      </c>
      <c r="O58">
        <v>3.3054389108297499E-2</v>
      </c>
      <c r="P58">
        <v>1.0915552427181299E-2</v>
      </c>
      <c r="Q58">
        <v>5.9409435748683003E-3</v>
      </c>
      <c r="R58">
        <v>2.4745332465935499E-3</v>
      </c>
      <c r="S58">
        <v>4.41306207172815E-3</v>
      </c>
      <c r="T58">
        <v>7.6360065749657797E-3</v>
      </c>
      <c r="U58">
        <v>4.1431617320839302E-4</v>
      </c>
      <c r="V58">
        <v>5.7263965251480899E-3</v>
      </c>
      <c r="W58">
        <v>0.31227907247369702</v>
      </c>
      <c r="X58">
        <v>9.0070901072343501E-2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selection activeCell="D40" sqref="D40:D58"/>
    </sheetView>
  </sheetViews>
  <sheetFormatPr defaultRowHeight="13.2" x14ac:dyDescent="0.25"/>
  <sheetData>
    <row r="1" spans="1:8" x14ac:dyDescent="0.25">
      <c r="A1" t="s">
        <v>20</v>
      </c>
      <c r="B1" t="s">
        <v>40</v>
      </c>
      <c r="C1" t="s">
        <v>61</v>
      </c>
      <c r="D1" s="1">
        <v>43194</v>
      </c>
      <c r="E1" t="s">
        <v>17</v>
      </c>
      <c r="F1" s="2">
        <v>0.52742924768518495</v>
      </c>
    </row>
    <row r="2" spans="1:8" x14ac:dyDescent="0.25">
      <c r="A2" t="s">
        <v>41</v>
      </c>
      <c r="B2" t="s">
        <v>13</v>
      </c>
    </row>
    <row r="5" spans="1:8" x14ac:dyDescent="0.25">
      <c r="A5" t="s">
        <v>69</v>
      </c>
      <c r="B5" t="s">
        <v>27</v>
      </c>
    </row>
    <row r="6" spans="1:8" x14ac:dyDescent="0.25">
      <c r="A6" t="s">
        <v>39</v>
      </c>
      <c r="B6" t="s">
        <v>40</v>
      </c>
    </row>
    <row r="7" spans="1:8" x14ac:dyDescent="0.25">
      <c r="A7" t="s">
        <v>67</v>
      </c>
      <c r="B7" t="s">
        <v>98</v>
      </c>
    </row>
    <row r="8" spans="1:8" x14ac:dyDescent="0.25">
      <c r="A8" t="s">
        <v>49</v>
      </c>
      <c r="B8" t="s">
        <v>58</v>
      </c>
    </row>
    <row r="9" spans="1:8" x14ac:dyDescent="0.25">
      <c r="A9" t="s">
        <v>60</v>
      </c>
      <c r="B9" t="s">
        <v>62</v>
      </c>
    </row>
    <row r="11" spans="1:8" x14ac:dyDescent="0.25">
      <c r="A11" t="s">
        <v>22</v>
      </c>
      <c r="B11" t="s">
        <v>43</v>
      </c>
      <c r="C11" t="s">
        <v>97</v>
      </c>
      <c r="D11" t="s">
        <v>94</v>
      </c>
      <c r="E11" t="s">
        <v>93</v>
      </c>
      <c r="F11" t="s">
        <v>92</v>
      </c>
      <c r="H11" t="s">
        <v>48</v>
      </c>
    </row>
    <row r="12" spans="1:8" x14ac:dyDescent="0.25">
      <c r="A12" t="s">
        <v>18</v>
      </c>
      <c r="B12" t="s">
        <v>59</v>
      </c>
      <c r="C12">
        <v>6.8212959863697904</v>
      </c>
      <c r="D12">
        <v>118.703416893937</v>
      </c>
      <c r="E12">
        <v>5.9506766161840002E-2</v>
      </c>
      <c r="F12">
        <v>0.23853957721934499</v>
      </c>
      <c r="H12">
        <v>125.822759223688</v>
      </c>
    </row>
    <row r="13" spans="1:8" x14ac:dyDescent="0.25">
      <c r="A13" t="s">
        <v>66</v>
      </c>
      <c r="B13" t="s">
        <v>0</v>
      </c>
      <c r="C13">
        <v>4.6185700572820002E-7</v>
      </c>
      <c r="D13">
        <v>1.4311023530402399E-5</v>
      </c>
      <c r="E13">
        <v>1.04857583593471E-8</v>
      </c>
      <c r="F13">
        <v>5.8969418663740401E-10</v>
      </c>
      <c r="H13">
        <v>1.47839559886766E-5</v>
      </c>
    </row>
    <row r="14" spans="1:8" x14ac:dyDescent="0.25">
      <c r="A14" t="s">
        <v>47</v>
      </c>
      <c r="B14" t="s">
        <v>28</v>
      </c>
      <c r="C14">
        <v>4.10366267820532E-2</v>
      </c>
      <c r="D14">
        <v>0.54042027639197199</v>
      </c>
      <c r="E14">
        <v>6.1109161685186702E-4</v>
      </c>
      <c r="F14">
        <v>4.45349845806777E-5</v>
      </c>
      <c r="H14">
        <v>0.58211252977545802</v>
      </c>
    </row>
    <row r="15" spans="1:8" x14ac:dyDescent="0.25">
      <c r="A15" t="s">
        <v>45</v>
      </c>
      <c r="B15" t="s">
        <v>34</v>
      </c>
      <c r="C15">
        <v>1.1685534637824801E-2</v>
      </c>
      <c r="D15">
        <v>0.108076370536971</v>
      </c>
      <c r="E15">
        <v>5.9777121694355299E-6</v>
      </c>
      <c r="F15">
        <v>2.5435753722810901E-6</v>
      </c>
      <c r="H15">
        <v>0.119770426462338</v>
      </c>
    </row>
    <row r="16" spans="1:8" x14ac:dyDescent="0.25">
      <c r="A16" t="s">
        <v>15</v>
      </c>
      <c r="B16" t="s">
        <v>65</v>
      </c>
      <c r="C16">
        <v>7.0515030249695401E-3</v>
      </c>
      <c r="D16">
        <v>3.5142514006349601E-2</v>
      </c>
      <c r="E16">
        <v>2.00468364073611E-5</v>
      </c>
      <c r="F16">
        <v>1.43969126948614E-5</v>
      </c>
      <c r="H16">
        <v>4.2228460780421299E-2</v>
      </c>
    </row>
    <row r="17" spans="1:8" x14ac:dyDescent="0.25">
      <c r="A17" t="s">
        <v>56</v>
      </c>
      <c r="B17" t="s">
        <v>21</v>
      </c>
      <c r="C17">
        <v>18.8029845680277</v>
      </c>
      <c r="D17">
        <v>73.961785818192496</v>
      </c>
      <c r="E17">
        <v>1.2222242645703599E-2</v>
      </c>
      <c r="F17">
        <v>0.23315641071079801</v>
      </c>
      <c r="H17">
        <v>93.010149039576802</v>
      </c>
    </row>
    <row r="18" spans="1:8" x14ac:dyDescent="0.25">
      <c r="A18" t="s">
        <v>26</v>
      </c>
      <c r="B18" t="s">
        <v>3</v>
      </c>
      <c r="C18">
        <v>2.6244324644401001E-2</v>
      </c>
      <c r="D18">
        <v>0.257898379477012</v>
      </c>
      <c r="E18">
        <v>5.4716932622223902E-4</v>
      </c>
      <c r="F18">
        <v>7.1182218369282398E-5</v>
      </c>
      <c r="H18">
        <v>0.28476105566600501</v>
      </c>
    </row>
    <row r="19" spans="1:8" x14ac:dyDescent="0.25">
      <c r="A19" t="s">
        <v>31</v>
      </c>
      <c r="B19" t="s">
        <v>5</v>
      </c>
      <c r="C19">
        <v>1.9242869067046801E-2</v>
      </c>
      <c r="D19">
        <v>0.18061007851564101</v>
      </c>
      <c r="E19">
        <v>2.27199790169957E-4</v>
      </c>
      <c r="F19">
        <v>1.8475524272160998E-5</v>
      </c>
      <c r="H19">
        <v>0.20009862289713001</v>
      </c>
    </row>
    <row r="20" spans="1:8" x14ac:dyDescent="0.25">
      <c r="A20" t="s">
        <v>64</v>
      </c>
      <c r="B20" t="s">
        <v>21</v>
      </c>
      <c r="C20">
        <v>9.72092999557489E-4</v>
      </c>
      <c r="D20">
        <v>7.8833567850223E-3</v>
      </c>
      <c r="E20">
        <v>1.6690926886781301E-5</v>
      </c>
      <c r="F20">
        <v>3.16465474112771E-4</v>
      </c>
      <c r="H20">
        <v>9.1886061855793403E-3</v>
      </c>
    </row>
    <row r="21" spans="1:8" x14ac:dyDescent="0.25">
      <c r="A21" t="s">
        <v>6</v>
      </c>
      <c r="B21" t="s">
        <v>21</v>
      </c>
      <c r="C21">
        <v>0.377063089608833</v>
      </c>
      <c r="D21">
        <v>2.4246655361456599</v>
      </c>
      <c r="E21">
        <v>2.0421442249434201E-4</v>
      </c>
      <c r="F21">
        <v>5.30613787204611E-2</v>
      </c>
      <c r="H21">
        <v>2.85499421889745</v>
      </c>
    </row>
    <row r="22" spans="1:8" x14ac:dyDescent="0.25">
      <c r="A22" t="s">
        <v>14</v>
      </c>
      <c r="B22" t="s">
        <v>21</v>
      </c>
      <c r="C22">
        <v>0.36333850017700497</v>
      </c>
      <c r="D22">
        <v>2.28398594187321</v>
      </c>
      <c r="E22">
        <v>3.4559348208362302E-4</v>
      </c>
      <c r="F22">
        <v>3.3927628652171998E-2</v>
      </c>
      <c r="H22">
        <v>2.6815976641844701</v>
      </c>
    </row>
    <row r="23" spans="1:8" x14ac:dyDescent="0.25">
      <c r="A23" t="s">
        <v>50</v>
      </c>
      <c r="B23" t="s">
        <v>68</v>
      </c>
      <c r="C23">
        <v>0.50117752247927605</v>
      </c>
      <c r="D23">
        <v>58.558341007251897</v>
      </c>
      <c r="E23">
        <v>4.89894305656476E-3</v>
      </c>
      <c r="F23">
        <v>2.0882689376028701E-4</v>
      </c>
      <c r="H23">
        <v>59.0646262996815</v>
      </c>
    </row>
    <row r="24" spans="1:8" x14ac:dyDescent="0.25">
      <c r="A24" t="s">
        <v>7</v>
      </c>
      <c r="B24" t="s">
        <v>10</v>
      </c>
      <c r="C24">
        <v>0.381442123978318</v>
      </c>
      <c r="D24">
        <v>16.116382485634102</v>
      </c>
      <c r="E24">
        <v>7.6972447104107404E-4</v>
      </c>
      <c r="F24">
        <v>9.2022512550318602E-5</v>
      </c>
      <c r="H24">
        <v>16.498686356596</v>
      </c>
    </row>
    <row r="25" spans="1:8" x14ac:dyDescent="0.25">
      <c r="A25" t="s">
        <v>24</v>
      </c>
      <c r="B25" t="s">
        <v>10</v>
      </c>
      <c r="C25">
        <v>0.122277607808748</v>
      </c>
      <c r="D25">
        <v>0.74652223196713496</v>
      </c>
      <c r="E25">
        <v>2.03631023495305E-3</v>
      </c>
      <c r="F25">
        <v>7.4526680209558097E-5</v>
      </c>
      <c r="H25">
        <v>0.87091067669104605</v>
      </c>
    </row>
    <row r="26" spans="1:8" x14ac:dyDescent="0.25">
      <c r="A26" t="s">
        <v>46</v>
      </c>
      <c r="B26" t="s">
        <v>33</v>
      </c>
      <c r="C26">
        <v>9.4844524603639201E-4</v>
      </c>
      <c r="D26">
        <v>1.26826729461835E-2</v>
      </c>
      <c r="E26">
        <v>2.2681785165455698E-5</v>
      </c>
      <c r="F26">
        <v>-1.3016577289016801E-6</v>
      </c>
      <c r="H26">
        <v>1.36524983196565E-2</v>
      </c>
    </row>
    <row r="27" spans="1:8" x14ac:dyDescent="0.25">
      <c r="A27" t="s">
        <v>44</v>
      </c>
      <c r="B27" t="s">
        <v>73</v>
      </c>
      <c r="C27">
        <v>4.3815128933379598E-2</v>
      </c>
      <c r="D27">
        <v>1.77710306098558</v>
      </c>
      <c r="E27">
        <v>1.7456163831368199E-4</v>
      </c>
      <c r="F27">
        <v>7.0013038194507299E-5</v>
      </c>
      <c r="H27">
        <v>1.82116276459547</v>
      </c>
    </row>
    <row r="28" spans="1:8" x14ac:dyDescent="0.25">
      <c r="A28" t="s">
        <v>32</v>
      </c>
      <c r="B28" t="s">
        <v>29</v>
      </c>
      <c r="C28">
        <v>3.3942161021302999</v>
      </c>
      <c r="D28">
        <v>4.2725778480395196</v>
      </c>
      <c r="E28">
        <v>1.7407066147247499E-3</v>
      </c>
      <c r="F28">
        <v>2.1811416343118299E-4</v>
      </c>
      <c r="H28">
        <v>7.6687527709479699</v>
      </c>
    </row>
    <row r="29" spans="1:8" x14ac:dyDescent="0.25">
      <c r="A29" t="s">
        <v>53</v>
      </c>
      <c r="B29" t="s">
        <v>52</v>
      </c>
      <c r="C29">
        <v>1.6382207319011499</v>
      </c>
      <c r="D29">
        <v>31.677198858558999</v>
      </c>
      <c r="E29">
        <v>2.0752182557901899E-2</v>
      </c>
      <c r="F29">
        <v>6.5550615737610199E-4</v>
      </c>
      <c r="H29">
        <v>33.336827279175502</v>
      </c>
    </row>
    <row r="33" spans="1:26" x14ac:dyDescent="0.25">
      <c r="A33" t="s">
        <v>103</v>
      </c>
    </row>
    <row r="34" spans="1:26" x14ac:dyDescent="0.25">
      <c r="A34" t="s">
        <v>69</v>
      </c>
      <c r="B34" t="s">
        <v>27</v>
      </c>
    </row>
    <row r="35" spans="1:26" x14ac:dyDescent="0.25">
      <c r="A35" t="s">
        <v>39</v>
      </c>
      <c r="B35" t="s">
        <v>40</v>
      </c>
    </row>
    <row r="36" spans="1:26" x14ac:dyDescent="0.25">
      <c r="A36" t="s">
        <v>67</v>
      </c>
      <c r="B36" t="s">
        <v>78</v>
      </c>
    </row>
    <row r="37" spans="1:26" x14ac:dyDescent="0.25">
      <c r="A37" t="s">
        <v>49</v>
      </c>
      <c r="B37" t="s">
        <v>58</v>
      </c>
    </row>
    <row r="38" spans="1:26" x14ac:dyDescent="0.25">
      <c r="A38" t="s">
        <v>60</v>
      </c>
      <c r="B38" t="s">
        <v>62</v>
      </c>
    </row>
    <row r="40" spans="1:26" x14ac:dyDescent="0.25">
      <c r="A40" t="s">
        <v>22</v>
      </c>
      <c r="B40" t="s">
        <v>43</v>
      </c>
      <c r="C40" t="s">
        <v>48</v>
      </c>
      <c r="E40" t="s">
        <v>30</v>
      </c>
      <c r="F40" t="s">
        <v>77</v>
      </c>
      <c r="G40" t="s">
        <v>51</v>
      </c>
      <c r="H40" t="s">
        <v>9</v>
      </c>
      <c r="I40" t="s">
        <v>4</v>
      </c>
      <c r="J40" t="s">
        <v>11</v>
      </c>
      <c r="K40" t="s">
        <v>12</v>
      </c>
      <c r="L40" t="s">
        <v>12</v>
      </c>
      <c r="M40" t="s">
        <v>25</v>
      </c>
      <c r="N40" t="s">
        <v>76</v>
      </c>
      <c r="O40" t="s">
        <v>57</v>
      </c>
      <c r="P40" t="s">
        <v>36</v>
      </c>
      <c r="Q40" t="s">
        <v>37</v>
      </c>
      <c r="R40" t="s">
        <v>71</v>
      </c>
      <c r="S40" t="s">
        <v>75</v>
      </c>
      <c r="T40" t="s">
        <v>74</v>
      </c>
      <c r="U40" t="s">
        <v>1</v>
      </c>
      <c r="V40" t="s">
        <v>35</v>
      </c>
      <c r="W40" t="s">
        <v>51</v>
      </c>
      <c r="X40" t="s">
        <v>8</v>
      </c>
      <c r="Y40" t="s">
        <v>2</v>
      </c>
      <c r="Z40" t="s">
        <v>63</v>
      </c>
    </row>
    <row r="41" spans="1:26" x14ac:dyDescent="0.25">
      <c r="A41" t="s">
        <v>18</v>
      </c>
      <c r="B41" t="s">
        <v>59</v>
      </c>
      <c r="C41">
        <v>6.8212959795211203</v>
      </c>
      <c r="E41">
        <v>1.6903536551405201</v>
      </c>
      <c r="F41">
        <v>0.11827470600050299</v>
      </c>
      <c r="G41">
        <v>0.21232931918534401</v>
      </c>
      <c r="H41">
        <v>8.3001004362483199E-2</v>
      </c>
      <c r="I41">
        <v>2.18723686335412E-5</v>
      </c>
      <c r="J41">
        <v>3.56504369338756E-3</v>
      </c>
      <c r="K41">
        <v>1.1375292547257201</v>
      </c>
      <c r="L41">
        <v>0.39429470630042601</v>
      </c>
      <c r="M41">
        <v>4.4955653815843502E-2</v>
      </c>
      <c r="N41">
        <v>6.0235682165265599E-2</v>
      </c>
      <c r="O41">
        <v>3.9950337273674998E-3</v>
      </c>
      <c r="P41">
        <v>0.41370421541586899</v>
      </c>
      <c r="Q41">
        <v>5.5427509490573401E-2</v>
      </c>
      <c r="R41">
        <v>2.15883417896576E-2</v>
      </c>
      <c r="S41">
        <v>2.5370826306379601E-2</v>
      </c>
      <c r="T41">
        <v>0.12152988143070501</v>
      </c>
      <c r="U41">
        <v>3.90725821762836E-2</v>
      </c>
      <c r="V41">
        <v>6.2649663682081704E-4</v>
      </c>
      <c r="W41">
        <v>9.9368432875208801E-2</v>
      </c>
      <c r="X41">
        <v>2.0163587106689099E-2</v>
      </c>
      <c r="Y41">
        <v>1.5741155459043401</v>
      </c>
      <c r="Z41">
        <v>0.701772628903095</v>
      </c>
    </row>
    <row r="42" spans="1:26" x14ac:dyDescent="0.25">
      <c r="A42" t="s">
        <v>66</v>
      </c>
      <c r="B42" t="s">
        <v>0</v>
      </c>
      <c r="C42">
        <v>4.6185700584157098E-7</v>
      </c>
      <c r="E42">
        <v>6.6392059764577604E-8</v>
      </c>
      <c r="F42">
        <v>3.0255438167880801E-8</v>
      </c>
      <c r="G42">
        <v>4.9865492737987901E-10</v>
      </c>
      <c r="H42">
        <v>2.7422841304948301E-8</v>
      </c>
      <c r="I42">
        <v>2.2387281650493499E-12</v>
      </c>
      <c r="J42">
        <v>2.0190705402138401E-10</v>
      </c>
      <c r="K42">
        <v>1.2579556117342501E-7</v>
      </c>
      <c r="L42">
        <v>4.3603734708987798E-8</v>
      </c>
      <c r="M42">
        <v>5.2433787327885297E-9</v>
      </c>
      <c r="N42">
        <v>4.31031875719845E-9</v>
      </c>
      <c r="O42">
        <v>6.9038049562191903E-10</v>
      </c>
      <c r="P42">
        <v>3.4846308412830503E-8</v>
      </c>
      <c r="Q42">
        <v>3.7937131125357703E-9</v>
      </c>
      <c r="R42">
        <v>3.4238701673841499E-9</v>
      </c>
      <c r="S42">
        <v>3.8160162119202304E-9</v>
      </c>
      <c r="T42">
        <v>1.7226749316004701E-8</v>
      </c>
      <c r="U42">
        <v>2.3532919332593499E-8</v>
      </c>
      <c r="V42">
        <v>3.0429805193907003E-11</v>
      </c>
      <c r="W42">
        <v>2.3336654056704501E-10</v>
      </c>
      <c r="X42">
        <v>1.78716049651119E-9</v>
      </c>
      <c r="Y42">
        <v>8.3336792846880108E-9</v>
      </c>
      <c r="Z42">
        <v>6.0416279346346898E-8</v>
      </c>
    </row>
    <row r="43" spans="1:26" x14ac:dyDescent="0.25">
      <c r="A43" t="s">
        <v>47</v>
      </c>
      <c r="B43" t="s">
        <v>28</v>
      </c>
      <c r="C43">
        <v>4.1036626738459099E-2</v>
      </c>
      <c r="E43">
        <v>8.9024014358502507E-3</v>
      </c>
      <c r="F43">
        <v>7.0638356333595502E-4</v>
      </c>
      <c r="G43">
        <v>9.5438152856736004E-4</v>
      </c>
      <c r="H43">
        <v>2.42547430709063E-4</v>
      </c>
      <c r="I43">
        <v>2.8390524457481102E-7</v>
      </c>
      <c r="J43">
        <v>1.6218759509634299E-5</v>
      </c>
      <c r="K43">
        <v>8.0931040758411097E-3</v>
      </c>
      <c r="L43">
        <v>2.8052624417224201E-3</v>
      </c>
      <c r="M43">
        <v>2.5500469639492998E-4</v>
      </c>
      <c r="N43">
        <v>3.7567163346355402E-4</v>
      </c>
      <c r="O43">
        <v>1.4850629576683601E-4</v>
      </c>
      <c r="P43">
        <v>2.4504609930597102E-3</v>
      </c>
      <c r="Q43">
        <v>3.4432920704558E-4</v>
      </c>
      <c r="R43">
        <v>5.4174548771936798E-4</v>
      </c>
      <c r="S43">
        <v>2.7587875520070402E-4</v>
      </c>
      <c r="T43">
        <v>1.2042391411347299E-3</v>
      </c>
      <c r="U43">
        <v>9.3102639356550598E-4</v>
      </c>
      <c r="V43">
        <v>2.3583668046742802E-6</v>
      </c>
      <c r="W43">
        <v>4.4664296585438602E-4</v>
      </c>
      <c r="X43">
        <v>9.3917806147837695E-5</v>
      </c>
      <c r="Y43">
        <v>7.2654095246936596E-3</v>
      </c>
      <c r="Z43">
        <v>4.9808523308271999E-3</v>
      </c>
    </row>
    <row r="44" spans="1:26" x14ac:dyDescent="0.25">
      <c r="A44" t="s">
        <v>45</v>
      </c>
      <c r="B44" t="s">
        <v>34</v>
      </c>
      <c r="C44">
        <v>1.16855345580662E-2</v>
      </c>
      <c r="E44">
        <v>1.0783686828423199E-3</v>
      </c>
      <c r="F44">
        <v>4.6731892975224699E-5</v>
      </c>
      <c r="G44">
        <v>8.7734537670329805E-6</v>
      </c>
      <c r="H44">
        <v>2.36215172091753E-6</v>
      </c>
      <c r="I44">
        <v>9.9358558753199505E-8</v>
      </c>
      <c r="J44">
        <v>3.45138569120937E-6</v>
      </c>
      <c r="K44">
        <v>5.7787821056153798E-3</v>
      </c>
      <c r="L44">
        <v>2.0030633793740801E-3</v>
      </c>
      <c r="M44">
        <v>3.1801665093958798E-5</v>
      </c>
      <c r="N44">
        <v>4.56965376943688E-4</v>
      </c>
      <c r="O44">
        <v>6.1680544271067798E-6</v>
      </c>
      <c r="P44">
        <v>4.5243528318579898E-4</v>
      </c>
      <c r="Q44">
        <v>1.68965137975827E-4</v>
      </c>
      <c r="R44">
        <v>4.40289496058601E-4</v>
      </c>
      <c r="S44">
        <v>3.7484147541256402E-5</v>
      </c>
      <c r="T44">
        <v>1.70434589504763E-4</v>
      </c>
      <c r="U44">
        <v>2.07872690273703E-4</v>
      </c>
      <c r="V44">
        <v>9.8118309909472896E-8</v>
      </c>
      <c r="W44">
        <v>4.1059065939554003E-6</v>
      </c>
      <c r="X44">
        <v>1.01838105679751E-5</v>
      </c>
      <c r="Y44">
        <v>2.1515973724019801E-4</v>
      </c>
      <c r="Z44">
        <v>5.6193813380455001E-4</v>
      </c>
    </row>
    <row r="45" spans="1:26" x14ac:dyDescent="0.25">
      <c r="A45" t="s">
        <v>15</v>
      </c>
      <c r="B45" t="s">
        <v>65</v>
      </c>
      <c r="C45">
        <v>7.0515030269721899E-3</v>
      </c>
      <c r="E45">
        <v>3.8374396827292601E-4</v>
      </c>
      <c r="F45">
        <v>3.4677931364696399E-5</v>
      </c>
      <c r="G45">
        <v>5.7200247448072003E-5</v>
      </c>
      <c r="H45">
        <v>5.3980040142660998E-6</v>
      </c>
      <c r="I45">
        <v>2.85541308951721E-8</v>
      </c>
      <c r="J45">
        <v>7.9513106448456505E-7</v>
      </c>
      <c r="K45">
        <v>6.4131913408714103E-4</v>
      </c>
      <c r="L45">
        <v>2.2229647155818001E-4</v>
      </c>
      <c r="M45">
        <v>1.4552075136482701E-5</v>
      </c>
      <c r="N45">
        <v>3.9707744318773599E-5</v>
      </c>
      <c r="O45">
        <v>1.79039629112712E-6</v>
      </c>
      <c r="P45">
        <v>1.51466105022704E-4</v>
      </c>
      <c r="Q45">
        <v>2.9734445939932601E-5</v>
      </c>
      <c r="R45">
        <v>3.2411468894128201E-5</v>
      </c>
      <c r="S45">
        <v>1.21315761392578E-5</v>
      </c>
      <c r="T45">
        <v>5.8012383342430302E-5</v>
      </c>
      <c r="U45">
        <v>5.60372714254484E-5</v>
      </c>
      <c r="V45">
        <v>1.75404120618345E-7</v>
      </c>
      <c r="W45">
        <v>2.6769260932954501E-5</v>
      </c>
      <c r="X45">
        <v>1.8905183439890501E-5</v>
      </c>
      <c r="Y45">
        <v>1.9910523767324601E-4</v>
      </c>
      <c r="Z45">
        <v>5.06524503235453E-3</v>
      </c>
    </row>
    <row r="46" spans="1:26" x14ac:dyDescent="0.25">
      <c r="A46" t="s">
        <v>56</v>
      </c>
      <c r="B46" t="s">
        <v>21</v>
      </c>
      <c r="C46">
        <v>18.8029844324541</v>
      </c>
      <c r="E46">
        <v>1.3977862142634301</v>
      </c>
      <c r="F46">
        <v>5.9486214319272403E-2</v>
      </c>
      <c r="G46">
        <v>3.28856518636144E-3</v>
      </c>
      <c r="H46">
        <v>6.5333926484831602E-3</v>
      </c>
      <c r="I46">
        <v>1.8376504275246001E-4</v>
      </c>
      <c r="J46">
        <v>5.7476763435483297E-3</v>
      </c>
      <c r="K46">
        <v>9.4050393129195804</v>
      </c>
      <c r="L46">
        <v>3.2600104113592598</v>
      </c>
      <c r="M46">
        <v>4.3196657090135003E-2</v>
      </c>
      <c r="N46">
        <v>0.74695861273738995</v>
      </c>
      <c r="O46">
        <v>9.4541112481218992E-3</v>
      </c>
      <c r="P46">
        <v>0.65163549696730605</v>
      </c>
      <c r="Q46">
        <v>0.26104572438090301</v>
      </c>
      <c r="R46">
        <v>0.73966806312544897</v>
      </c>
      <c r="S46">
        <v>6.6862420512571505E-2</v>
      </c>
      <c r="T46">
        <v>0.29381748119456302</v>
      </c>
      <c r="U46">
        <v>0.45537026246932699</v>
      </c>
      <c r="V46">
        <v>1.1504750438304E-4</v>
      </c>
      <c r="W46">
        <v>1.53902235560534E-3</v>
      </c>
      <c r="X46">
        <v>7.27557572693752E-3</v>
      </c>
      <c r="Y46">
        <v>0.17708421390422899</v>
      </c>
      <c r="Z46">
        <v>1.2108861911545299</v>
      </c>
    </row>
    <row r="47" spans="1:26" x14ac:dyDescent="0.25">
      <c r="A47" t="s">
        <v>26</v>
      </c>
      <c r="B47" t="s">
        <v>3</v>
      </c>
      <c r="C47">
        <v>2.6244324629667699E-2</v>
      </c>
      <c r="E47">
        <v>5.7368051928260401E-3</v>
      </c>
      <c r="F47">
        <v>4.1513113475582901E-4</v>
      </c>
      <c r="G47">
        <v>8.5582715439673105E-4</v>
      </c>
      <c r="H47">
        <v>2.03760410671069E-4</v>
      </c>
      <c r="I47">
        <v>3.0566461572811303E-7</v>
      </c>
      <c r="J47">
        <v>1.5487261898279199E-5</v>
      </c>
      <c r="K47">
        <v>5.0606426274241697E-3</v>
      </c>
      <c r="L47">
        <v>1.7541391486698499E-3</v>
      </c>
      <c r="M47">
        <v>2.7496117641724702E-4</v>
      </c>
      <c r="N47">
        <v>2.8188963196952701E-4</v>
      </c>
      <c r="O47">
        <v>3.6282026274800501E-5</v>
      </c>
      <c r="P47">
        <v>2.5477477478064699E-3</v>
      </c>
      <c r="Q47">
        <v>2.1724717745400199E-4</v>
      </c>
      <c r="R47">
        <v>2.1833135456883601E-4</v>
      </c>
      <c r="S47">
        <v>1.07491517098303E-4</v>
      </c>
      <c r="T47">
        <v>6.9709852522138803E-4</v>
      </c>
      <c r="U47">
        <v>2.9057432494535902E-4</v>
      </c>
      <c r="V47">
        <v>2.73878186263787E-6</v>
      </c>
      <c r="W47">
        <v>4.0052030247513101E-4</v>
      </c>
      <c r="X47">
        <v>6.4566620766183294E-5</v>
      </c>
      <c r="Y47">
        <v>4.3703543562283401E-3</v>
      </c>
      <c r="Z47">
        <v>2.6924224913217301E-3</v>
      </c>
    </row>
    <row r="48" spans="1:26" x14ac:dyDescent="0.25">
      <c r="A48" t="s">
        <v>31</v>
      </c>
      <c r="B48" t="s">
        <v>5</v>
      </c>
      <c r="C48">
        <v>1.9242869059658201E-2</v>
      </c>
      <c r="E48">
        <v>4.09275172770651E-3</v>
      </c>
      <c r="F48">
        <v>3.4778091146132802E-4</v>
      </c>
      <c r="G48">
        <v>2.75860373770324E-4</v>
      </c>
      <c r="H48">
        <v>1.2243276599939299E-4</v>
      </c>
      <c r="I48">
        <v>1.16212365651748E-7</v>
      </c>
      <c r="J48">
        <v>1.5539885434180201E-5</v>
      </c>
      <c r="K48">
        <v>4.1071576393608604E-3</v>
      </c>
      <c r="L48">
        <v>1.4236385643829599E-3</v>
      </c>
      <c r="M48">
        <v>1.4805112792957699E-4</v>
      </c>
      <c r="N48">
        <v>2.0728601808455099E-4</v>
      </c>
      <c r="O48">
        <v>3.8745391261568503E-5</v>
      </c>
      <c r="P48">
        <v>1.37587269345304E-3</v>
      </c>
      <c r="Q48">
        <v>2.3290806650696301E-4</v>
      </c>
      <c r="R48">
        <v>1.5872510685556999E-4</v>
      </c>
      <c r="S48">
        <v>1.2789161568547999E-4</v>
      </c>
      <c r="T48">
        <v>5.89943860767922E-4</v>
      </c>
      <c r="U48">
        <v>3.3709382616429502E-4</v>
      </c>
      <c r="V48">
        <v>1.0080072816405199E-6</v>
      </c>
      <c r="W48">
        <v>1.29100461203847E-4</v>
      </c>
      <c r="X48">
        <v>4.3223616226788499E-5</v>
      </c>
      <c r="Y48">
        <v>3.2759812446635098E-3</v>
      </c>
      <c r="Z48">
        <v>2.19175994309219E-3</v>
      </c>
    </row>
    <row r="49" spans="1:26" x14ac:dyDescent="0.25">
      <c r="A49" t="s">
        <v>64</v>
      </c>
      <c r="B49" t="s">
        <v>21</v>
      </c>
      <c r="C49">
        <v>9.7209299632608297E-4</v>
      </c>
      <c r="E49">
        <v>8.7660295043448695E-5</v>
      </c>
      <c r="F49">
        <v>8.3439151543360595E-5</v>
      </c>
      <c r="G49">
        <v>1.7619062168858799E-6</v>
      </c>
      <c r="H49">
        <v>1.68954078307183E-6</v>
      </c>
      <c r="I49">
        <v>5.1463918835316697E-9</v>
      </c>
      <c r="J49">
        <v>5.8094628534008404E-7</v>
      </c>
      <c r="K49">
        <v>3.8172502413086801E-4</v>
      </c>
      <c r="L49">
        <v>1.3231497620999199E-4</v>
      </c>
      <c r="M49">
        <v>5.0409325733307797E-6</v>
      </c>
      <c r="N49">
        <v>8.4662629962992006E-6</v>
      </c>
      <c r="O49">
        <v>4.6662483937106497E-7</v>
      </c>
      <c r="P49">
        <v>3.6491445440527603E-5</v>
      </c>
      <c r="Q49">
        <v>4.8516665112363E-6</v>
      </c>
      <c r="R49">
        <v>6.8103796580276596E-6</v>
      </c>
      <c r="S49">
        <v>5.9598737637914397E-6</v>
      </c>
      <c r="T49">
        <v>2.5567819156488901E-5</v>
      </c>
      <c r="U49">
        <v>3.6298502083953302E-5</v>
      </c>
      <c r="V49">
        <v>3.4341342077665503E-8</v>
      </c>
      <c r="W49">
        <v>8.2455809831995405E-7</v>
      </c>
      <c r="X49">
        <v>4.0111449559832397E-5</v>
      </c>
      <c r="Y49">
        <v>1.9348583369672198E-5</v>
      </c>
      <c r="Z49">
        <v>9.2643570328303899E-5</v>
      </c>
    </row>
    <row r="50" spans="1:26" x14ac:dyDescent="0.25">
      <c r="A50" t="s">
        <v>6</v>
      </c>
      <c r="B50" t="s">
        <v>21</v>
      </c>
      <c r="C50">
        <v>0.37706308696074398</v>
      </c>
      <c r="E50">
        <v>3.22367333476326E-2</v>
      </c>
      <c r="F50">
        <v>1.56281831034338E-3</v>
      </c>
      <c r="G50">
        <v>2.96146545945528E-4</v>
      </c>
      <c r="H50">
        <v>7.0964299767233206E-5</v>
      </c>
      <c r="I50">
        <v>3.2717202333934599E-6</v>
      </c>
      <c r="J50">
        <v>1.73158326522891E-4</v>
      </c>
      <c r="K50">
        <v>0.187364443747188</v>
      </c>
      <c r="L50">
        <v>6.4944974392112095E-2</v>
      </c>
      <c r="M50">
        <v>9.5137372340270096E-4</v>
      </c>
      <c r="N50">
        <v>1.49642617511761E-2</v>
      </c>
      <c r="O50">
        <v>2.1876890281598299E-4</v>
      </c>
      <c r="P50">
        <v>1.4025263234061201E-2</v>
      </c>
      <c r="Q50">
        <v>5.3237309246916302E-3</v>
      </c>
      <c r="R50">
        <v>1.47079713167941E-2</v>
      </c>
      <c r="S50">
        <v>1.22295675264817E-3</v>
      </c>
      <c r="T50">
        <v>5.3916645348821802E-3</v>
      </c>
      <c r="U50">
        <v>7.6634083234785001E-3</v>
      </c>
      <c r="V50">
        <v>2.9139541233135099E-6</v>
      </c>
      <c r="W50">
        <v>1.3859422846039201E-4</v>
      </c>
      <c r="X50">
        <v>2.3838505123026301E-4</v>
      </c>
      <c r="Y50">
        <v>7.6056373986911801E-3</v>
      </c>
      <c r="Z50">
        <v>1.79556461745429E-2</v>
      </c>
    </row>
    <row r="51" spans="1:26" x14ac:dyDescent="0.25">
      <c r="A51" t="s">
        <v>14</v>
      </c>
      <c r="B51" t="s">
        <v>21</v>
      </c>
      <c r="C51">
        <v>0.36333849769807403</v>
      </c>
      <c r="E51">
        <v>3.0060304046890099E-2</v>
      </c>
      <c r="F51">
        <v>1.5507587085308999E-3</v>
      </c>
      <c r="G51">
        <v>2.6256223636625202E-4</v>
      </c>
      <c r="H51">
        <v>6.5634972879699899E-5</v>
      </c>
      <c r="I51">
        <v>3.0013736603599699E-6</v>
      </c>
      <c r="J51">
        <v>1.6741438981864699E-4</v>
      </c>
      <c r="K51">
        <v>0.176388059011613</v>
      </c>
      <c r="L51">
        <v>6.1140298268334198E-2</v>
      </c>
      <c r="M51">
        <v>9.3307486306175096E-4</v>
      </c>
      <c r="N51">
        <v>1.37979249113121E-2</v>
      </c>
      <c r="O51">
        <v>3.0909354232243802E-4</v>
      </c>
      <c r="P51">
        <v>2.0624812661859601E-2</v>
      </c>
      <c r="Q51">
        <v>4.811242443996E-3</v>
      </c>
      <c r="R51">
        <v>1.36223003689071E-2</v>
      </c>
      <c r="S51">
        <v>1.2625019295086999E-3</v>
      </c>
      <c r="T51">
        <v>5.5421036534900403E-3</v>
      </c>
      <c r="U51">
        <v>8.1141634142081007E-3</v>
      </c>
      <c r="V51">
        <v>2.8561420630123098E-6</v>
      </c>
      <c r="W51">
        <v>1.2287703864933601E-4</v>
      </c>
      <c r="X51">
        <v>2.15606209030963E-4</v>
      </c>
      <c r="Y51">
        <v>7.0552852770652602E-3</v>
      </c>
      <c r="Z51">
        <v>1.72866222345061E-2</v>
      </c>
    </row>
    <row r="52" spans="1:26" x14ac:dyDescent="0.25">
      <c r="A52" t="s">
        <v>50</v>
      </c>
      <c r="B52" t="s">
        <v>68</v>
      </c>
      <c r="C52">
        <v>0.50117752469635102</v>
      </c>
      <c r="E52">
        <v>9.5114339998585401E-2</v>
      </c>
      <c r="F52">
        <v>2.6728866969359801E-2</v>
      </c>
      <c r="G52">
        <v>2.1477568250550299E-4</v>
      </c>
      <c r="H52">
        <v>8.26655411922249E-5</v>
      </c>
      <c r="I52">
        <v>9.4034917228007397E-7</v>
      </c>
      <c r="J52">
        <v>1.84309482144976E-4</v>
      </c>
      <c r="K52">
        <v>0.14181892019442299</v>
      </c>
      <c r="L52">
        <v>4.9157812208870701E-2</v>
      </c>
      <c r="M52">
        <v>5.0933887991991902E-3</v>
      </c>
      <c r="N52">
        <v>7.5176529863530796E-3</v>
      </c>
      <c r="O52">
        <v>4.5483775544887298E-4</v>
      </c>
      <c r="P52">
        <v>4.2980681238254097E-2</v>
      </c>
      <c r="Q52">
        <v>6.7594178589645204E-3</v>
      </c>
      <c r="R52">
        <v>2.3206085265442202E-3</v>
      </c>
      <c r="S52">
        <v>3.4446826224483799E-3</v>
      </c>
      <c r="T52">
        <v>1.7908604113855801E-2</v>
      </c>
      <c r="U52">
        <v>6.4315805096322202E-3</v>
      </c>
      <c r="V52">
        <v>1.6972724095544402E-5</v>
      </c>
      <c r="W52">
        <v>1.00513311454862E-4</v>
      </c>
      <c r="X52">
        <v>2.0120469865544501E-3</v>
      </c>
      <c r="Y52">
        <v>2.6932101292483999E-2</v>
      </c>
      <c r="Z52">
        <v>6.5901805544807998E-2</v>
      </c>
    </row>
    <row r="53" spans="1:26" x14ac:dyDescent="0.25">
      <c r="A53" t="s">
        <v>7</v>
      </c>
      <c r="B53" t="s">
        <v>10</v>
      </c>
      <c r="C53">
        <v>0.38144212385362702</v>
      </c>
      <c r="E53">
        <v>5.4897588628907E-2</v>
      </c>
      <c r="F53">
        <v>1.76751966215456E-2</v>
      </c>
      <c r="G53">
        <v>8.5809068598668105E-5</v>
      </c>
      <c r="H53">
        <v>2.7048758789039301E-5</v>
      </c>
      <c r="I53">
        <v>1.01643807589144E-6</v>
      </c>
      <c r="J53">
        <v>1.2660503567397499E-4</v>
      </c>
      <c r="K53">
        <v>6.6767156854592502E-2</v>
      </c>
      <c r="L53">
        <v>2.3143085237701099E-2</v>
      </c>
      <c r="M53">
        <v>3.3229797346655101E-3</v>
      </c>
      <c r="N53">
        <v>3.4242989189461701E-3</v>
      </c>
      <c r="O53">
        <v>3.1521604176347403E-4</v>
      </c>
      <c r="P53">
        <v>3.3072287738829802E-2</v>
      </c>
      <c r="Q53">
        <v>3.40408762234134E-3</v>
      </c>
      <c r="R53">
        <v>1.2970422244847301E-3</v>
      </c>
      <c r="S53">
        <v>2.52838799269704E-3</v>
      </c>
      <c r="T53">
        <v>8.5805614390296707E-3</v>
      </c>
      <c r="U53">
        <v>4.8426597803203596E-3</v>
      </c>
      <c r="V53">
        <v>1.1308715050940401E-5</v>
      </c>
      <c r="W53">
        <v>4.0157961725897502E-5</v>
      </c>
      <c r="X53">
        <v>2.0867506055518702E-2</v>
      </c>
      <c r="Y53">
        <v>2.2197357254047399E-2</v>
      </c>
      <c r="Z53">
        <v>0.114814765730323</v>
      </c>
    </row>
    <row r="54" spans="1:26" x14ac:dyDescent="0.25">
      <c r="A54" t="s">
        <v>24</v>
      </c>
      <c r="B54" t="s">
        <v>10</v>
      </c>
      <c r="C54">
        <v>0.12227760737733499</v>
      </c>
      <c r="E54">
        <v>2.3781170474978599E-2</v>
      </c>
      <c r="F54">
        <v>1.26575639690493E-3</v>
      </c>
      <c r="G54">
        <v>1.3091367912845299E-4</v>
      </c>
      <c r="H54">
        <v>5.9098102153855201E-5</v>
      </c>
      <c r="I54">
        <v>6.6116193962306803E-7</v>
      </c>
      <c r="J54">
        <v>5.6727968900749102E-5</v>
      </c>
      <c r="K54">
        <v>3.9473762609704803E-2</v>
      </c>
      <c r="L54">
        <v>1.3682545367608301E-2</v>
      </c>
      <c r="M54">
        <v>5.5638949544669703E-4</v>
      </c>
      <c r="N54">
        <v>2.7666141975105098E-3</v>
      </c>
      <c r="O54">
        <v>1.05349020023462E-4</v>
      </c>
      <c r="P54">
        <v>8.4984196334375404E-3</v>
      </c>
      <c r="Q54">
        <v>9.1066788148955397E-4</v>
      </c>
      <c r="R54">
        <v>2.5874307043611501E-3</v>
      </c>
      <c r="S54">
        <v>4.84817203167768E-4</v>
      </c>
      <c r="T54">
        <v>1.6286206850946801E-3</v>
      </c>
      <c r="U54">
        <v>1.16735969021034E-3</v>
      </c>
      <c r="V54">
        <v>3.6043123522784302E-6</v>
      </c>
      <c r="W54">
        <v>6.1266560769061306E-5</v>
      </c>
      <c r="X54">
        <v>4.4339838042535101E-4</v>
      </c>
      <c r="Y54">
        <v>1.31637844319023E-2</v>
      </c>
      <c r="Z54">
        <v>1.1449249419825299E-2</v>
      </c>
    </row>
    <row r="55" spans="1:26" x14ac:dyDescent="0.25">
      <c r="A55" t="s">
        <v>46</v>
      </c>
      <c r="B55" t="s">
        <v>33</v>
      </c>
      <c r="C55">
        <v>9.4844524660558298E-4</v>
      </c>
      <c r="E55">
        <v>1.5892718071813699E-4</v>
      </c>
      <c r="F55">
        <v>2.7771692057957499E-5</v>
      </c>
      <c r="G55">
        <v>7.29755826922278E-7</v>
      </c>
      <c r="H55">
        <v>2.9885871021672598E-7</v>
      </c>
      <c r="I55">
        <v>7.2025692731881399E-9</v>
      </c>
      <c r="J55">
        <v>4.74764701182115E-7</v>
      </c>
      <c r="K55">
        <v>2.5236505712060799E-4</v>
      </c>
      <c r="L55">
        <v>8.7475733625728294E-5</v>
      </c>
      <c r="M55">
        <v>1.04111993094721E-5</v>
      </c>
      <c r="N55">
        <v>1.40326503025183E-5</v>
      </c>
      <c r="O55">
        <v>9.4420622805485103E-7</v>
      </c>
      <c r="P55">
        <v>8.2172242441571795E-5</v>
      </c>
      <c r="Q55">
        <v>9.7844339779412702E-6</v>
      </c>
      <c r="R55">
        <v>9.5660087046145993E-6</v>
      </c>
      <c r="S55">
        <v>1.04348581615276E-5</v>
      </c>
      <c r="T55">
        <v>4.04481496497917E-5</v>
      </c>
      <c r="U55">
        <v>8.2666160268027197E-6</v>
      </c>
      <c r="V55">
        <v>5.62485737658854E-8</v>
      </c>
      <c r="W55">
        <v>3.4151992377237402E-7</v>
      </c>
      <c r="X55">
        <v>4.3175930665769302E-6</v>
      </c>
      <c r="Y55">
        <v>6.6436297291997307E-5</v>
      </c>
      <c r="Z55">
        <v>1.6318297761714999E-4</v>
      </c>
    </row>
    <row r="56" spans="1:26" x14ac:dyDescent="0.25">
      <c r="A56" t="s">
        <v>44</v>
      </c>
      <c r="B56" t="s">
        <v>73</v>
      </c>
      <c r="C56">
        <v>4.3815128957163101E-2</v>
      </c>
      <c r="E56">
        <v>1.0610389016526899E-2</v>
      </c>
      <c r="F56">
        <v>1.49703258691193E-3</v>
      </c>
      <c r="G56">
        <v>8.4766709458392801E-4</v>
      </c>
      <c r="H56">
        <v>5.5827766942123896E-4</v>
      </c>
      <c r="I56">
        <v>3.17414521320295E-7</v>
      </c>
      <c r="J56">
        <v>2.6617981395487299E-5</v>
      </c>
      <c r="K56">
        <v>9.9974187073328096E-3</v>
      </c>
      <c r="L56">
        <v>3.46534320466392E-3</v>
      </c>
      <c r="M56">
        <v>4.4533821307361998E-4</v>
      </c>
      <c r="N56">
        <v>4.5430991084934898E-4</v>
      </c>
      <c r="O56">
        <v>4.1673035150661799E-5</v>
      </c>
      <c r="P56">
        <v>3.9440632392639596E-3</v>
      </c>
      <c r="Q56">
        <v>6.18859884423982E-4</v>
      </c>
      <c r="R56">
        <v>1.9630466027876001E-4</v>
      </c>
      <c r="S56">
        <v>2.3740188113224899E-4</v>
      </c>
      <c r="T56">
        <v>1.3943052500381299E-3</v>
      </c>
      <c r="U56">
        <v>5.0700694985202999E-4</v>
      </c>
      <c r="V56">
        <v>1.11612534009647E-5</v>
      </c>
      <c r="W56">
        <v>3.9670145937386898E-4</v>
      </c>
      <c r="X56">
        <v>1.84020370431641E-4</v>
      </c>
      <c r="Y56">
        <v>2.4126099799978398E-3</v>
      </c>
      <c r="Z56">
        <v>5.96830919453855E-3</v>
      </c>
    </row>
    <row r="57" spans="1:26" x14ac:dyDescent="0.25">
      <c r="A57" t="s">
        <v>32</v>
      </c>
      <c r="B57" t="s">
        <v>29</v>
      </c>
      <c r="C57">
        <v>3.3942160953763199</v>
      </c>
      <c r="E57">
        <v>0.28651985857471401</v>
      </c>
      <c r="F57">
        <v>1.4860230668392E-2</v>
      </c>
      <c r="G57">
        <v>2.3500936631038301E-4</v>
      </c>
      <c r="H57">
        <v>7.2904720950246299E-5</v>
      </c>
      <c r="I57">
        <v>6.1552648085184405E-5</v>
      </c>
      <c r="J57">
        <v>5.3771123447017904E-3</v>
      </c>
      <c r="K57">
        <v>1.17131881244418</v>
      </c>
      <c r="L57">
        <v>0.40600697100155198</v>
      </c>
      <c r="M57">
        <v>5.2842196232299098E-2</v>
      </c>
      <c r="N57">
        <v>7.4591083111352097E-2</v>
      </c>
      <c r="O57">
        <v>6.4152867072120798E-3</v>
      </c>
      <c r="P57">
        <v>0.207564638333394</v>
      </c>
      <c r="Q57">
        <v>5.1961454571311398E-2</v>
      </c>
      <c r="R57">
        <v>7.7241883530812003E-2</v>
      </c>
      <c r="S57">
        <v>0.10273512046420499</v>
      </c>
      <c r="T57">
        <v>0.44230395256022498</v>
      </c>
      <c r="U57">
        <v>0.33513387989309101</v>
      </c>
      <c r="V57">
        <v>1.9441087302764301E-5</v>
      </c>
      <c r="W57">
        <v>1.09982514571499E-4</v>
      </c>
      <c r="X57">
        <v>1.3865035674500399E-3</v>
      </c>
      <c r="Y57">
        <v>9.4981655755844996E-3</v>
      </c>
      <c r="Z57">
        <v>0.14796005545861801</v>
      </c>
    </row>
    <row r="58" spans="1:26" x14ac:dyDescent="0.25">
      <c r="A58" t="s">
        <v>53</v>
      </c>
      <c r="B58" t="s">
        <v>52</v>
      </c>
      <c r="C58">
        <v>1.6382207306809999</v>
      </c>
      <c r="E58">
        <v>0.40080647995789298</v>
      </c>
      <c r="F58">
        <v>2.8859147005996E-2</v>
      </c>
      <c r="G58">
        <v>7.3473612343021202E-2</v>
      </c>
      <c r="H58">
        <v>2.3398740873254501E-2</v>
      </c>
      <c r="I58">
        <v>5.5359063114533798E-6</v>
      </c>
      <c r="J58">
        <v>8.1317481046891198E-4</v>
      </c>
      <c r="K58">
        <v>0.29098088945332401</v>
      </c>
      <c r="L58">
        <v>0.100860899945557</v>
      </c>
      <c r="M58">
        <v>1.1842033234470599E-2</v>
      </c>
      <c r="N58">
        <v>1.53006127472173E-2</v>
      </c>
      <c r="O58">
        <v>1.06872661344405E-3</v>
      </c>
      <c r="P58">
        <v>0.106655748596214</v>
      </c>
      <c r="Q58">
        <v>1.4213776903724299E-2</v>
      </c>
      <c r="R58">
        <v>5.9409435707368499E-3</v>
      </c>
      <c r="S58">
        <v>6.2815074737701702E-3</v>
      </c>
      <c r="T58">
        <v>3.15663734900649E-2</v>
      </c>
      <c r="U58">
        <v>1.1376971923200901E-2</v>
      </c>
      <c r="V58">
        <v>4.14316172648778E-4</v>
      </c>
      <c r="W58">
        <v>3.4385066293334397E-2</v>
      </c>
      <c r="X58">
        <v>6.0192417154740696E-3</v>
      </c>
      <c r="Y58">
        <v>0.31227907265086602</v>
      </c>
      <c r="Z58">
        <v>0.161677859000007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activeCell="K63" sqref="K63"/>
    </sheetView>
  </sheetViews>
  <sheetFormatPr defaultRowHeight="13.2" x14ac:dyDescent="0.25"/>
  <sheetData>
    <row r="1" spans="1:7" x14ac:dyDescent="0.25">
      <c r="A1" t="s">
        <v>20</v>
      </c>
      <c r="B1" t="s">
        <v>40</v>
      </c>
      <c r="C1" t="s">
        <v>61</v>
      </c>
      <c r="D1" s="1">
        <v>43194</v>
      </c>
      <c r="E1" t="s">
        <v>17</v>
      </c>
      <c r="F1" s="2">
        <v>0.52929390046296299</v>
      </c>
    </row>
    <row r="2" spans="1:7" x14ac:dyDescent="0.25">
      <c r="A2" t="s">
        <v>41</v>
      </c>
      <c r="B2" t="s">
        <v>13</v>
      </c>
    </row>
    <row r="5" spans="1:7" x14ac:dyDescent="0.25">
      <c r="A5" t="s">
        <v>69</v>
      </c>
      <c r="B5" t="s">
        <v>27</v>
      </c>
    </row>
    <row r="6" spans="1:7" x14ac:dyDescent="0.25">
      <c r="A6" t="s">
        <v>39</v>
      </c>
      <c r="B6" t="s">
        <v>40</v>
      </c>
    </row>
    <row r="7" spans="1:7" x14ac:dyDescent="0.25">
      <c r="A7" t="s">
        <v>67</v>
      </c>
      <c r="B7" t="s">
        <v>100</v>
      </c>
    </row>
    <row r="8" spans="1:7" x14ac:dyDescent="0.25">
      <c r="A8" t="s">
        <v>49</v>
      </c>
      <c r="B8" t="s">
        <v>58</v>
      </c>
    </row>
    <row r="9" spans="1:7" x14ac:dyDescent="0.25">
      <c r="A9" t="s">
        <v>60</v>
      </c>
      <c r="B9" t="s">
        <v>62</v>
      </c>
    </row>
    <row r="11" spans="1:7" x14ac:dyDescent="0.25">
      <c r="A11" t="s">
        <v>22</v>
      </c>
      <c r="B11" t="s">
        <v>43</v>
      </c>
      <c r="C11" t="s">
        <v>48</v>
      </c>
      <c r="D11" t="s">
        <v>99</v>
      </c>
      <c r="E11" t="s">
        <v>94</v>
      </c>
      <c r="F11" t="s">
        <v>93</v>
      </c>
      <c r="G11" t="s">
        <v>92</v>
      </c>
    </row>
    <row r="12" spans="1:7" x14ac:dyDescent="0.25">
      <c r="A12" t="s">
        <v>18</v>
      </c>
      <c r="B12" t="s">
        <v>59</v>
      </c>
      <c r="C12">
        <v>143.184414305166</v>
      </c>
      <c r="D12">
        <v>5.5225483280293401</v>
      </c>
      <c r="E12">
        <v>137.44606115069701</v>
      </c>
      <c r="F12">
        <v>5.9506766279852102E-2</v>
      </c>
      <c r="G12">
        <v>0.15629806015953701</v>
      </c>
    </row>
    <row r="13" spans="1:7" x14ac:dyDescent="0.25">
      <c r="A13" t="s">
        <v>66</v>
      </c>
      <c r="B13" t="s">
        <v>0</v>
      </c>
      <c r="C13">
        <v>1.6939632717258102E-5</v>
      </c>
      <c r="D13">
        <v>3.5810177960016398E-7</v>
      </c>
      <c r="E13">
        <v>1.65706587944858E-5</v>
      </c>
      <c r="F13">
        <v>1.0485758411725801E-8</v>
      </c>
      <c r="G13">
        <v>3.8638476045802601E-10</v>
      </c>
    </row>
    <row r="14" spans="1:7" x14ac:dyDescent="0.25">
      <c r="A14" t="s">
        <v>47</v>
      </c>
      <c r="B14" t="s">
        <v>28</v>
      </c>
      <c r="C14">
        <v>0.66031081101868205</v>
      </c>
      <c r="D14">
        <v>3.3920747685931098E-2</v>
      </c>
      <c r="E14">
        <v>0.625749791099523</v>
      </c>
      <c r="F14">
        <v>6.1109161767781896E-4</v>
      </c>
      <c r="G14">
        <v>2.91806155497957E-5</v>
      </c>
    </row>
    <row r="15" spans="1:7" x14ac:dyDescent="0.25">
      <c r="A15" t="s">
        <v>45</v>
      </c>
      <c r="B15" t="s">
        <v>34</v>
      </c>
      <c r="C15">
        <v>0.137906287729019</v>
      </c>
      <c r="D15">
        <v>1.27575823121794E-2</v>
      </c>
      <c r="E15">
        <v>0.12514106108019299</v>
      </c>
      <c r="F15">
        <v>5.9777121768109803E-6</v>
      </c>
      <c r="G15">
        <v>1.66662446985596E-6</v>
      </c>
    </row>
    <row r="16" spans="1:7" x14ac:dyDescent="0.25">
      <c r="A16" t="s">
        <v>15</v>
      </c>
      <c r="B16" t="s">
        <v>65</v>
      </c>
      <c r="C16">
        <v>4.5482309994769203E-2</v>
      </c>
      <c r="D16">
        <v>4.7614978258166797E-3</v>
      </c>
      <c r="E16">
        <v>4.0691332057111798E-2</v>
      </c>
      <c r="F16">
        <v>2.00468364380794E-5</v>
      </c>
      <c r="G16">
        <v>9.4332754026446398E-6</v>
      </c>
    </row>
    <row r="17" spans="1:7" x14ac:dyDescent="0.25">
      <c r="A17" t="s">
        <v>56</v>
      </c>
      <c r="B17" t="s">
        <v>21</v>
      </c>
      <c r="C17">
        <v>106.382331173305</v>
      </c>
      <c r="D17">
        <v>20.577375389993701</v>
      </c>
      <c r="E17">
        <v>85.639962687586205</v>
      </c>
      <c r="F17">
        <v>1.2222242630533399E-2</v>
      </c>
      <c r="G17">
        <v>0.152770853094474</v>
      </c>
    </row>
    <row r="18" spans="1:7" x14ac:dyDescent="0.25">
      <c r="A18" t="s">
        <v>26</v>
      </c>
      <c r="B18" t="s">
        <v>3</v>
      </c>
      <c r="C18">
        <v>0.320991857604699</v>
      </c>
      <c r="D18">
        <v>2.1778872523976599E-2</v>
      </c>
      <c r="E18">
        <v>0.29861917509638802</v>
      </c>
      <c r="F18">
        <v>5.4716932715602495E-4</v>
      </c>
      <c r="G18">
        <v>4.6640657177954803E-5</v>
      </c>
    </row>
    <row r="19" spans="1:7" x14ac:dyDescent="0.25">
      <c r="A19" t="s">
        <v>31</v>
      </c>
      <c r="B19" t="s">
        <v>5</v>
      </c>
      <c r="C19">
        <v>0.225400293293572</v>
      </c>
      <c r="D19">
        <v>1.6033529358143402E-2</v>
      </c>
      <c r="E19">
        <v>0.20912745844479899</v>
      </c>
      <c r="F19">
        <v>2.2719979044914099E-4</v>
      </c>
      <c r="G19">
        <v>1.21057001804698E-5</v>
      </c>
    </row>
    <row r="20" spans="1:7" x14ac:dyDescent="0.25">
      <c r="A20" t="s">
        <v>64</v>
      </c>
      <c r="B20" t="s">
        <v>21</v>
      </c>
      <c r="C20">
        <v>1.0250167132754701E-2</v>
      </c>
      <c r="D20">
        <v>8.9802154185723599E-4</v>
      </c>
      <c r="E20">
        <v>9.1280972926291101E-3</v>
      </c>
      <c r="F20">
        <v>1.66909268471062E-5</v>
      </c>
      <c r="G20">
        <v>2.07357371421227E-4</v>
      </c>
    </row>
    <row r="21" spans="1:7" x14ac:dyDescent="0.25">
      <c r="A21" t="s">
        <v>6</v>
      </c>
      <c r="B21" t="s">
        <v>21</v>
      </c>
      <c r="C21">
        <v>3.2558138323480401</v>
      </c>
      <c r="D21">
        <v>0.41333480014149798</v>
      </c>
      <c r="E21">
        <v>2.80750746110356</v>
      </c>
      <c r="F21">
        <v>2.0421442272256901E-4</v>
      </c>
      <c r="G21">
        <v>3.4767356680257398E-2</v>
      </c>
    </row>
    <row r="22" spans="1:7" x14ac:dyDescent="0.25">
      <c r="A22" t="s">
        <v>14</v>
      </c>
      <c r="B22" t="s">
        <v>21</v>
      </c>
      <c r="C22">
        <v>3.0627044750485699</v>
      </c>
      <c r="D22">
        <v>0.39551321365867698</v>
      </c>
      <c r="E22">
        <v>2.6446153000751802</v>
      </c>
      <c r="F22">
        <v>3.4559348202411501E-4</v>
      </c>
      <c r="G22">
        <v>2.2230367832687701E-2</v>
      </c>
    </row>
    <row r="23" spans="1:7" x14ac:dyDescent="0.25">
      <c r="A23" t="s">
        <v>50</v>
      </c>
      <c r="B23" t="s">
        <v>68</v>
      </c>
      <c r="C23">
        <v>68.224840831919096</v>
      </c>
      <c r="D23">
        <v>0.41541035942462001</v>
      </c>
      <c r="E23">
        <v>67.804394699974296</v>
      </c>
      <c r="F23">
        <v>4.8989430739071098E-3</v>
      </c>
      <c r="G23">
        <v>1.36829446267633E-4</v>
      </c>
    </row>
    <row r="24" spans="1:7" x14ac:dyDescent="0.25">
      <c r="A24" t="s">
        <v>7</v>
      </c>
      <c r="B24" t="s">
        <v>10</v>
      </c>
      <c r="C24">
        <v>18.953852302878801</v>
      </c>
      <c r="D24">
        <v>0.29194797053518401</v>
      </c>
      <c r="E24">
        <v>18.661074312045699</v>
      </c>
      <c r="F24">
        <v>7.6972447459724405E-4</v>
      </c>
      <c r="G24">
        <v>6.02958233296286E-5</v>
      </c>
    </row>
    <row r="25" spans="1:7" x14ac:dyDescent="0.25">
      <c r="A25" t="s">
        <v>24</v>
      </c>
      <c r="B25" t="s">
        <v>10</v>
      </c>
      <c r="C25">
        <v>0.98085974872769799</v>
      </c>
      <c r="D25">
        <v>0.11438044670127701</v>
      </c>
      <c r="E25">
        <v>0.86439415973417599</v>
      </c>
      <c r="F25">
        <v>2.0363102464143702E-3</v>
      </c>
      <c r="G25">
        <v>4.8832045830555303E-5</v>
      </c>
    </row>
    <row r="26" spans="1:7" x14ac:dyDescent="0.25">
      <c r="A26" t="s">
        <v>46</v>
      </c>
      <c r="B26" t="s">
        <v>33</v>
      </c>
      <c r="C26">
        <v>1.55014344683315E-2</v>
      </c>
      <c r="D26">
        <v>7.9440528277702996E-4</v>
      </c>
      <c r="E26">
        <v>1.46852002842072E-2</v>
      </c>
      <c r="F26">
        <v>2.2681785306134301E-5</v>
      </c>
      <c r="G26">
        <v>-8.5288395889365201E-7</v>
      </c>
    </row>
    <row r="27" spans="1:7" x14ac:dyDescent="0.25">
      <c r="A27" t="s">
        <v>44</v>
      </c>
      <c r="B27" t="s">
        <v>73</v>
      </c>
      <c r="C27">
        <v>2.0924626167042502</v>
      </c>
      <c r="D27">
        <v>3.45439065764317E-2</v>
      </c>
      <c r="E27">
        <v>2.0576982739128402</v>
      </c>
      <c r="F27">
        <v>1.74561638621595E-4</v>
      </c>
      <c r="G27">
        <v>4.5874576352830697E-5</v>
      </c>
    </row>
    <row r="28" spans="1:7" x14ac:dyDescent="0.25">
      <c r="A28" t="s">
        <v>32</v>
      </c>
      <c r="B28" t="s">
        <v>29</v>
      </c>
      <c r="C28">
        <v>7.8199052073819502</v>
      </c>
      <c r="D28">
        <v>2.8708262089401102</v>
      </c>
      <c r="E28">
        <v>4.9471953770953698</v>
      </c>
      <c r="F28">
        <v>1.74070661065045E-3</v>
      </c>
      <c r="G28">
        <v>1.4291473582420201E-4</v>
      </c>
    </row>
    <row r="29" spans="1:7" x14ac:dyDescent="0.25">
      <c r="A29" t="s">
        <v>53</v>
      </c>
      <c r="B29" t="s">
        <v>52</v>
      </c>
      <c r="C29">
        <v>38.028048893079998</v>
      </c>
      <c r="D29">
        <v>1.32800546120454</v>
      </c>
      <c r="E29">
        <v>36.678861742544299</v>
      </c>
      <c r="F29">
        <v>2.07521826575775E-2</v>
      </c>
      <c r="G29">
        <v>4.2950667358349E-4</v>
      </c>
    </row>
    <row r="32" spans="1:7" x14ac:dyDescent="0.25">
      <c r="A32" t="s">
        <v>103</v>
      </c>
    </row>
    <row r="33" spans="1:22" x14ac:dyDescent="0.25">
      <c r="A33" t="s">
        <v>69</v>
      </c>
      <c r="B33" t="s">
        <v>27</v>
      </c>
    </row>
    <row r="34" spans="1:22" x14ac:dyDescent="0.25">
      <c r="A34" t="s">
        <v>39</v>
      </c>
      <c r="B34" t="s">
        <v>40</v>
      </c>
    </row>
    <row r="35" spans="1:22" x14ac:dyDescent="0.25">
      <c r="A35" t="s">
        <v>67</v>
      </c>
      <c r="B35" t="s">
        <v>38</v>
      </c>
    </row>
    <row r="36" spans="1:22" x14ac:dyDescent="0.25">
      <c r="A36" t="s">
        <v>49</v>
      </c>
      <c r="B36" t="s">
        <v>58</v>
      </c>
    </row>
    <row r="37" spans="1:22" x14ac:dyDescent="0.25">
      <c r="A37" t="s">
        <v>60</v>
      </c>
      <c r="B37" t="s">
        <v>62</v>
      </c>
    </row>
    <row r="39" spans="1:22" x14ac:dyDescent="0.25">
      <c r="A39" t="s">
        <v>22</v>
      </c>
      <c r="B39" t="s">
        <v>43</v>
      </c>
      <c r="C39" t="s">
        <v>48</v>
      </c>
      <c r="E39" t="s">
        <v>30</v>
      </c>
      <c r="F39" t="s">
        <v>51</v>
      </c>
      <c r="G39" t="s">
        <v>9</v>
      </c>
      <c r="H39" t="s">
        <v>11</v>
      </c>
      <c r="I39" t="s">
        <v>4</v>
      </c>
      <c r="J39" t="s">
        <v>12</v>
      </c>
      <c r="K39" t="s">
        <v>12</v>
      </c>
      <c r="L39" t="s">
        <v>25</v>
      </c>
      <c r="M39" t="s">
        <v>57</v>
      </c>
      <c r="N39" t="s">
        <v>36</v>
      </c>
      <c r="O39" t="s">
        <v>37</v>
      </c>
      <c r="P39" t="s">
        <v>71</v>
      </c>
      <c r="Q39" t="s">
        <v>1</v>
      </c>
      <c r="R39" t="s">
        <v>35</v>
      </c>
      <c r="S39" t="s">
        <v>8</v>
      </c>
      <c r="T39" t="s">
        <v>51</v>
      </c>
      <c r="U39" t="s">
        <v>2</v>
      </c>
      <c r="V39" t="s">
        <v>63</v>
      </c>
    </row>
    <row r="40" spans="1:22" x14ac:dyDescent="0.25">
      <c r="A40" t="s">
        <v>18</v>
      </c>
      <c r="B40" t="s">
        <v>59</v>
      </c>
      <c r="C40">
        <v>5.5225482872650602</v>
      </c>
      <c r="E40">
        <v>0.67614146288695898</v>
      </c>
      <c r="F40">
        <v>0.213342421314407</v>
      </c>
      <c r="G40">
        <v>1.7897091433155699E-2</v>
      </c>
      <c r="H40">
        <v>3.1560819206010201E-3</v>
      </c>
      <c r="I40">
        <v>1.99747659759934E-5</v>
      </c>
      <c r="J40">
        <v>1.5410900104812999</v>
      </c>
      <c r="K40">
        <v>0.46988614718314198</v>
      </c>
      <c r="L40">
        <v>5.1050387852358901E-2</v>
      </c>
      <c r="M40">
        <v>9.1885775227799893E-3</v>
      </c>
      <c r="N40">
        <v>0.36108297502681302</v>
      </c>
      <c r="O40">
        <v>6.7982912136860599E-2</v>
      </c>
      <c r="P40">
        <v>4.01606650693433E-2</v>
      </c>
      <c r="Q40">
        <v>1.4112483307011099E-2</v>
      </c>
      <c r="R40">
        <v>6.26496637593279E-4</v>
      </c>
      <c r="S40">
        <v>2.1112587322138301E-2</v>
      </c>
      <c r="T40">
        <v>5.8380009631544202E-2</v>
      </c>
      <c r="U40">
        <v>1.5741155482699301</v>
      </c>
      <c r="V40">
        <v>0.40320245450315501</v>
      </c>
    </row>
    <row r="41" spans="1:22" x14ac:dyDescent="0.25">
      <c r="A41" t="s">
        <v>66</v>
      </c>
      <c r="B41" t="s">
        <v>0</v>
      </c>
      <c r="C41">
        <v>3.5810177783261798E-7</v>
      </c>
      <c r="E41">
        <v>2.65568239382714E-8</v>
      </c>
      <c r="F41">
        <v>5.0103420017571898E-10</v>
      </c>
      <c r="G41">
        <v>5.9130501128088198E-9</v>
      </c>
      <c r="H41">
        <v>1.78745411625119E-10</v>
      </c>
      <c r="I41">
        <v>2.04450061922179E-12</v>
      </c>
      <c r="J41">
        <v>1.7042399753182399E-7</v>
      </c>
      <c r="K41">
        <v>5.1963139753769903E-8</v>
      </c>
      <c r="L41">
        <v>5.9542347969669201E-9</v>
      </c>
      <c r="M41">
        <v>1.5878751405669101E-9</v>
      </c>
      <c r="N41">
        <v>3.0414021191117103E-8</v>
      </c>
      <c r="O41">
        <v>4.6530624775095403E-9</v>
      </c>
      <c r="P41">
        <v>6.3694055037965903E-9</v>
      </c>
      <c r="Q41">
        <v>8.4997692106657405E-9</v>
      </c>
      <c r="R41">
        <v>3.0429805076816699E-11</v>
      </c>
      <c r="S41">
        <v>1.8712732881076402E-9</v>
      </c>
      <c r="T41">
        <v>1.37105322287895E-10</v>
      </c>
      <c r="U41">
        <v>8.3336792667745097E-9</v>
      </c>
      <c r="V41">
        <v>3.4712086380653497E-8</v>
      </c>
    </row>
    <row r="42" spans="1:22" x14ac:dyDescent="0.25">
      <c r="A42" t="s">
        <v>47</v>
      </c>
      <c r="B42" t="s">
        <v>28</v>
      </c>
      <c r="C42">
        <v>3.3920747451481201E-2</v>
      </c>
      <c r="E42">
        <v>3.5609605778561398E-3</v>
      </c>
      <c r="F42">
        <v>9.5893523770752397E-4</v>
      </c>
      <c r="G42">
        <v>5.2299289361245497E-5</v>
      </c>
      <c r="H42">
        <v>1.4358234592167E-5</v>
      </c>
      <c r="I42">
        <v>2.5927419743188298E-7</v>
      </c>
      <c r="J42">
        <v>1.0964291064650701E-2</v>
      </c>
      <c r="K42">
        <v>3.3430678610097899E-3</v>
      </c>
      <c r="L42">
        <v>2.8957622792349398E-4</v>
      </c>
      <c r="M42">
        <v>3.4156448135051098E-4</v>
      </c>
      <c r="N42">
        <v>2.1387738260857398E-3</v>
      </c>
      <c r="O42">
        <v>4.2232643006920903E-4</v>
      </c>
      <c r="P42">
        <v>1.0078059388884701E-3</v>
      </c>
      <c r="Q42">
        <v>3.3627402366158399E-4</v>
      </c>
      <c r="R42">
        <v>2.3583668066886901E-6</v>
      </c>
      <c r="S42">
        <v>9.8338052276051305E-5</v>
      </c>
      <c r="T42">
        <v>2.6240748590215698E-4</v>
      </c>
      <c r="U42">
        <v>7.2654095357342898E-3</v>
      </c>
      <c r="V42">
        <v>2.86174154340805E-3</v>
      </c>
    </row>
    <row r="43" spans="1:22" x14ac:dyDescent="0.25">
      <c r="A43" t="s">
        <v>45</v>
      </c>
      <c r="B43" t="s">
        <v>34</v>
      </c>
      <c r="C43">
        <v>1.27575821912434E-2</v>
      </c>
      <c r="E43">
        <v>4.31347471727529E-4</v>
      </c>
      <c r="F43">
        <v>8.8153151819219107E-6</v>
      </c>
      <c r="G43">
        <v>5.0933896252159699E-7</v>
      </c>
      <c r="H43">
        <v>3.0554621344398001E-6</v>
      </c>
      <c r="I43">
        <v>9.0738410390779596E-8</v>
      </c>
      <c r="J43">
        <v>7.8289181167494094E-3</v>
      </c>
      <c r="K43">
        <v>2.38707677388862E-3</v>
      </c>
      <c r="L43">
        <v>3.61130848130937E-5</v>
      </c>
      <c r="M43">
        <v>1.4186525199880399E-5</v>
      </c>
      <c r="N43">
        <v>3.9488763515978302E-4</v>
      </c>
      <c r="O43">
        <v>2.0723900927629101E-4</v>
      </c>
      <c r="P43">
        <v>8.1906796252762698E-4</v>
      </c>
      <c r="Q43">
        <v>7.5080777995293005E-5</v>
      </c>
      <c r="R43">
        <v>9.8118309757780902E-8</v>
      </c>
      <c r="S43">
        <v>1.0663112123703899E-5</v>
      </c>
      <c r="T43">
        <v>2.4122637310245301E-6</v>
      </c>
      <c r="U43">
        <v>2.15159738314808E-4</v>
      </c>
      <c r="V43">
        <v>3.2286074673731799E-4</v>
      </c>
    </row>
    <row r="44" spans="1:22" x14ac:dyDescent="0.25">
      <c r="A44" t="s">
        <v>15</v>
      </c>
      <c r="B44" t="s">
        <v>65</v>
      </c>
      <c r="C44">
        <v>4.7614978189627101E-3</v>
      </c>
      <c r="E44">
        <v>1.5349758726279601E-4</v>
      </c>
      <c r="F44">
        <v>5.7473171093530901E-5</v>
      </c>
      <c r="G44">
        <v>1.1639446071582699E-6</v>
      </c>
      <c r="H44">
        <v>7.03918100160021E-7</v>
      </c>
      <c r="I44">
        <v>2.60768320030817E-8</v>
      </c>
      <c r="J44">
        <v>8.6883964306686001E-4</v>
      </c>
      <c r="K44">
        <v>2.6491360635915199E-4</v>
      </c>
      <c r="L44">
        <v>1.6524931067538301E-5</v>
      </c>
      <c r="M44">
        <v>4.1179114666101804E-6</v>
      </c>
      <c r="N44">
        <v>1.3220032585719999E-4</v>
      </c>
      <c r="O44">
        <v>3.64698729080092E-5</v>
      </c>
      <c r="P44">
        <v>6.02948650252368E-5</v>
      </c>
      <c r="Q44">
        <v>2.02398974551549E-5</v>
      </c>
      <c r="R44">
        <v>1.7540412103833699E-7</v>
      </c>
      <c r="S44">
        <v>1.97949567964093E-5</v>
      </c>
      <c r="T44">
        <v>1.5727225093461299E-5</v>
      </c>
      <c r="U44">
        <v>1.99105238110191E-4</v>
      </c>
      <c r="V44">
        <v>2.9102292437402002E-3</v>
      </c>
    </row>
    <row r="45" spans="1:22" x14ac:dyDescent="0.25">
      <c r="A45" t="s">
        <v>56</v>
      </c>
      <c r="B45" t="s">
        <v>21</v>
      </c>
      <c r="C45">
        <v>20.577375203274201</v>
      </c>
      <c r="E45">
        <v>0.55911448393242202</v>
      </c>
      <c r="F45">
        <v>3.3042561575127899E-3</v>
      </c>
      <c r="G45">
        <v>1.40876278026825E-3</v>
      </c>
      <c r="H45">
        <v>5.08833523392767E-3</v>
      </c>
      <c r="I45">
        <v>1.67821957873325E-4</v>
      </c>
      <c r="J45">
        <v>12.7416610142987</v>
      </c>
      <c r="K45">
        <v>3.8849969579989798</v>
      </c>
      <c r="L45">
        <v>4.9052920263143902E-2</v>
      </c>
      <c r="M45">
        <v>2.1744455905899102E-2</v>
      </c>
      <c r="N45">
        <v>0.56875051602145199</v>
      </c>
      <c r="O45">
        <v>0.320177629269565</v>
      </c>
      <c r="P45">
        <v>1.37600015187222</v>
      </c>
      <c r="Q45">
        <v>0.16447352240836899</v>
      </c>
      <c r="R45">
        <v>1.1504750425408599E-4</v>
      </c>
      <c r="S45">
        <v>7.6180010464421497E-3</v>
      </c>
      <c r="T45">
        <v>9.0419197978634195E-4</v>
      </c>
      <c r="U45">
        <v>0.177084214616718</v>
      </c>
      <c r="V45">
        <v>0.69571292002670104</v>
      </c>
    </row>
    <row r="46" spans="1:22" x14ac:dyDescent="0.25">
      <c r="A46" t="s">
        <v>26</v>
      </c>
      <c r="B46" t="s">
        <v>3</v>
      </c>
      <c r="C46">
        <v>2.1778872398241E-2</v>
      </c>
      <c r="E46">
        <v>2.2947220798697101E-3</v>
      </c>
      <c r="F46">
        <v>8.5991062397144198E-4</v>
      </c>
      <c r="G46">
        <v>4.3935838226850701E-5</v>
      </c>
      <c r="H46">
        <v>1.3710650275801501E-5</v>
      </c>
      <c r="I46">
        <v>2.7914576935666399E-7</v>
      </c>
      <c r="J46">
        <v>6.85600459348571E-3</v>
      </c>
      <c r="K46">
        <v>2.09043051450111E-3</v>
      </c>
      <c r="L46">
        <v>3.1223825058421598E-4</v>
      </c>
      <c r="M46">
        <v>8.3448660435675703E-5</v>
      </c>
      <c r="N46">
        <v>2.22368616739229E-3</v>
      </c>
      <c r="O46">
        <v>2.66457863447022E-4</v>
      </c>
      <c r="P46">
        <v>4.0616053339588901E-4</v>
      </c>
      <c r="Q46">
        <v>1.04951479481013E-4</v>
      </c>
      <c r="R46">
        <v>2.7387818655032901E-6</v>
      </c>
      <c r="S46">
        <v>6.7605451964379104E-5</v>
      </c>
      <c r="T46">
        <v>2.35309931332114E-4</v>
      </c>
      <c r="U46">
        <v>4.3703543627365499E-3</v>
      </c>
      <c r="V46">
        <v>1.54692746950637E-3</v>
      </c>
    </row>
    <row r="47" spans="1:22" x14ac:dyDescent="0.25">
      <c r="A47" t="s">
        <v>31</v>
      </c>
      <c r="B47" t="s">
        <v>5</v>
      </c>
      <c r="C47">
        <v>1.60335292285998E-2</v>
      </c>
      <c r="E47">
        <v>1.6371006925977401E-3</v>
      </c>
      <c r="F47">
        <v>2.7717660619082601E-4</v>
      </c>
      <c r="G47">
        <v>2.6399564973704301E-5</v>
      </c>
      <c r="H47">
        <v>1.37572371296617E-5</v>
      </c>
      <c r="I47">
        <v>1.06130014875783E-7</v>
      </c>
      <c r="J47">
        <v>5.5642521542049496E-3</v>
      </c>
      <c r="K47">
        <v>1.69656865524572E-3</v>
      </c>
      <c r="L47">
        <v>1.6812273557640899E-4</v>
      </c>
      <c r="M47">
        <v>8.9114399975821196E-5</v>
      </c>
      <c r="N47">
        <v>1.20086812502552E-3</v>
      </c>
      <c r="O47">
        <v>2.8566624703255599E-4</v>
      </c>
      <c r="P47">
        <v>2.9527538115860398E-4</v>
      </c>
      <c r="Q47">
        <v>1.2175368831087899E-4</v>
      </c>
      <c r="R47">
        <v>1.0080072829766401E-6</v>
      </c>
      <c r="S47">
        <v>4.5257937855373803E-5</v>
      </c>
      <c r="T47">
        <v>7.5847892038367605E-5</v>
      </c>
      <c r="U47">
        <v>3.27598124990629E-3</v>
      </c>
      <c r="V47">
        <v>1.25927252407955E-3</v>
      </c>
    </row>
    <row r="48" spans="1:22" x14ac:dyDescent="0.25">
      <c r="A48" t="s">
        <v>64</v>
      </c>
      <c r="B48" t="s">
        <v>21</v>
      </c>
      <c r="C48">
        <v>8.9802153900437904E-4</v>
      </c>
      <c r="E48">
        <v>3.5064118105150797E-5</v>
      </c>
      <c r="F48">
        <v>1.77031293158909E-6</v>
      </c>
      <c r="G48">
        <v>3.6430722892750999E-7</v>
      </c>
      <c r="H48">
        <v>5.1430339360605696E-7</v>
      </c>
      <c r="I48">
        <v>4.6999012848270697E-9</v>
      </c>
      <c r="J48">
        <v>5.1714944508222298E-4</v>
      </c>
      <c r="K48">
        <v>1.57681484283772E-4</v>
      </c>
      <c r="L48">
        <v>5.7243425775537598E-6</v>
      </c>
      <c r="M48">
        <v>1.0732371304322E-6</v>
      </c>
      <c r="N48">
        <v>3.1849904613747198E-5</v>
      </c>
      <c r="O48">
        <v>5.9506627802972498E-6</v>
      </c>
      <c r="P48">
        <v>1.26693092305069E-5</v>
      </c>
      <c r="Q48">
        <v>1.3110523424577E-5</v>
      </c>
      <c r="R48">
        <v>3.4341342085616502E-8</v>
      </c>
      <c r="S48">
        <v>4.1999296892784001E-5</v>
      </c>
      <c r="T48">
        <v>4.8443664115308999E-7</v>
      </c>
      <c r="U48">
        <v>1.93485833932794E-5</v>
      </c>
      <c r="V48">
        <v>5.3228230051408403E-5</v>
      </c>
    </row>
    <row r="49" spans="1:22" x14ac:dyDescent="0.25">
      <c r="A49" t="s">
        <v>6</v>
      </c>
      <c r="B49" t="s">
        <v>21</v>
      </c>
      <c r="C49">
        <v>0.413334796299272</v>
      </c>
      <c r="E49">
        <v>1.2894693299504999E-2</v>
      </c>
      <c r="F49">
        <v>2.9755957075411999E-4</v>
      </c>
      <c r="G49">
        <v>1.5301677093633499E-5</v>
      </c>
      <c r="H49">
        <v>1.53294577009372E-4</v>
      </c>
      <c r="I49">
        <v>2.9878723782688599E-6</v>
      </c>
      <c r="J49">
        <v>0.25383564586860702</v>
      </c>
      <c r="K49">
        <v>7.7395773669114806E-2</v>
      </c>
      <c r="L49">
        <v>1.08035349435905E-3</v>
      </c>
      <c r="M49">
        <v>5.0316847725773303E-4</v>
      </c>
      <c r="N49">
        <v>1.2241315483113699E-2</v>
      </c>
      <c r="O49">
        <v>6.5296589320826002E-3</v>
      </c>
      <c r="P49">
        <v>2.73611526209845E-2</v>
      </c>
      <c r="Q49">
        <v>2.76791847142517E-3</v>
      </c>
      <c r="R49">
        <v>2.9139541201791801E-6</v>
      </c>
      <c r="S49">
        <v>2.4960465509214498E-4</v>
      </c>
      <c r="T49">
        <v>8.14255809958346E-5</v>
      </c>
      <c r="U49">
        <v>7.60563740343039E-3</v>
      </c>
      <c r="V49">
        <v>1.03163906919477E-2</v>
      </c>
    </row>
    <row r="50" spans="1:22" x14ac:dyDescent="0.25">
      <c r="A50" t="s">
        <v>14</v>
      </c>
      <c r="B50" t="s">
        <v>21</v>
      </c>
      <c r="C50">
        <v>0.39551321013211199</v>
      </c>
      <c r="E50">
        <v>1.2024121584240099E-2</v>
      </c>
      <c r="F50">
        <v>2.6381501782999099E-4</v>
      </c>
      <c r="G50">
        <v>1.4152540975971901E-5</v>
      </c>
      <c r="H50">
        <v>1.4820955242664E-4</v>
      </c>
      <c r="I50">
        <v>2.7409805289775999E-6</v>
      </c>
      <c r="J50">
        <v>0.238965173902041</v>
      </c>
      <c r="K50">
        <v>7.2861691472980106E-2</v>
      </c>
      <c r="L50">
        <v>1.0595738184671799E-3</v>
      </c>
      <c r="M50">
        <v>7.1091514853912697E-4</v>
      </c>
      <c r="N50">
        <v>1.8001433158786401E-2</v>
      </c>
      <c r="O50">
        <v>5.9010818994163702E-3</v>
      </c>
      <c r="P50">
        <v>2.5341485332357201E-2</v>
      </c>
      <c r="Q50">
        <v>2.9307250567469799E-3</v>
      </c>
      <c r="R50">
        <v>2.8561420607145699E-6</v>
      </c>
      <c r="S50">
        <v>2.2575372559582499E-4</v>
      </c>
      <c r="T50">
        <v>7.2191565029457698E-5</v>
      </c>
      <c r="U50">
        <v>7.05528528310914E-3</v>
      </c>
      <c r="V50">
        <v>9.9320039509809607E-3</v>
      </c>
    </row>
    <row r="51" spans="1:22" x14ac:dyDescent="0.25">
      <c r="A51" t="s">
        <v>50</v>
      </c>
      <c r="B51" t="s">
        <v>68</v>
      </c>
      <c r="C51">
        <v>0.41541035375331697</v>
      </c>
      <c r="E51">
        <v>3.8045736075496599E-2</v>
      </c>
      <c r="F51">
        <v>2.15800458152161E-4</v>
      </c>
      <c r="G51">
        <v>1.7824757394165401E-5</v>
      </c>
      <c r="H51">
        <v>1.6316653445266999E-4</v>
      </c>
      <c r="I51">
        <v>8.58766369477181E-7</v>
      </c>
      <c r="J51">
        <v>0.192131956087261</v>
      </c>
      <c r="K51">
        <v>5.8582006231036599E-2</v>
      </c>
      <c r="L51">
        <v>5.7839103903137203E-3</v>
      </c>
      <c r="M51">
        <v>1.0461268309047899E-3</v>
      </c>
      <c r="N51">
        <v>3.75137394271437E-2</v>
      </c>
      <c r="O51">
        <v>8.2905567003836705E-3</v>
      </c>
      <c r="P51">
        <v>4.3170143635909196E-3</v>
      </c>
      <c r="Q51">
        <v>2.32299908561122E-3</v>
      </c>
      <c r="R51">
        <v>1.6972724005253701E-5</v>
      </c>
      <c r="S51">
        <v>2.1067440795281998E-3</v>
      </c>
      <c r="T51">
        <v>5.9052638231982397E-5</v>
      </c>
      <c r="U51">
        <v>2.6932101236721202E-2</v>
      </c>
      <c r="V51">
        <v>3.7863787366719498E-2</v>
      </c>
    </row>
    <row r="52" spans="1:22" x14ac:dyDescent="0.25">
      <c r="A52" t="s">
        <v>7</v>
      </c>
      <c r="B52" t="s">
        <v>10</v>
      </c>
      <c r="C52">
        <v>0.29194796842208298</v>
      </c>
      <c r="E52">
        <v>2.1959035471063999E-2</v>
      </c>
      <c r="F52">
        <v>8.6218495780644396E-5</v>
      </c>
      <c r="G52">
        <v>5.8323885946035899E-6</v>
      </c>
      <c r="H52">
        <v>1.12081617586581E-4</v>
      </c>
      <c r="I52">
        <v>9.2825395203992395E-7</v>
      </c>
      <c r="J52">
        <v>9.0454111757115402E-2</v>
      </c>
      <c r="K52">
        <v>2.7579916670247E-2</v>
      </c>
      <c r="L52">
        <v>3.7734832104890101E-3</v>
      </c>
      <c r="M52">
        <v>7.2499689181913199E-4</v>
      </c>
      <c r="N52">
        <v>2.8865647690451302E-2</v>
      </c>
      <c r="O52">
        <v>4.1751792755787996E-3</v>
      </c>
      <c r="P52">
        <v>2.4128800110854E-3</v>
      </c>
      <c r="Q52">
        <v>1.7491026034840501E-3</v>
      </c>
      <c r="R52">
        <v>1.130871501674E-5</v>
      </c>
      <c r="S52">
        <v>2.1849636217180099E-2</v>
      </c>
      <c r="T52">
        <v>2.3593229059088099E-5</v>
      </c>
      <c r="U52">
        <v>2.2197357305970899E-2</v>
      </c>
      <c r="V52">
        <v>6.5966658617607796E-2</v>
      </c>
    </row>
    <row r="53" spans="1:22" x14ac:dyDescent="0.25">
      <c r="A53" t="s">
        <v>24</v>
      </c>
      <c r="B53" t="s">
        <v>10</v>
      </c>
      <c r="C53">
        <v>0.11438044607619299</v>
      </c>
      <c r="E53">
        <v>9.5124681989531504E-3</v>
      </c>
      <c r="F53">
        <v>1.31538316786576E-4</v>
      </c>
      <c r="G53">
        <v>1.2743028193090799E-5</v>
      </c>
      <c r="H53">
        <v>5.0220455228453698E-5</v>
      </c>
      <c r="I53">
        <v>6.0380086192515797E-7</v>
      </c>
      <c r="J53">
        <v>5.3477852200934199E-2</v>
      </c>
      <c r="K53">
        <v>1.6305667909999998E-2</v>
      </c>
      <c r="L53">
        <v>6.3182040868612504E-4</v>
      </c>
      <c r="M53">
        <v>2.4230274616691299E-4</v>
      </c>
      <c r="N53">
        <v>7.4174604782800101E-3</v>
      </c>
      <c r="O53">
        <v>1.1169517665084599E-3</v>
      </c>
      <c r="P53">
        <v>4.8133821268101203E-3</v>
      </c>
      <c r="Q53">
        <v>4.2163438433119799E-4</v>
      </c>
      <c r="R53">
        <v>3.6043123564459898E-6</v>
      </c>
      <c r="S53">
        <v>4.6426694712134898E-4</v>
      </c>
      <c r="T53">
        <v>3.5994755068427699E-5</v>
      </c>
      <c r="U53">
        <v>1.3163784454786101E-2</v>
      </c>
      <c r="V53">
        <v>6.5781497851206301E-3</v>
      </c>
    </row>
    <row r="54" spans="1:22" x14ac:dyDescent="0.25">
      <c r="A54" t="s">
        <v>46</v>
      </c>
      <c r="B54" t="s">
        <v>33</v>
      </c>
      <c r="C54">
        <v>7.9440527801691199E-4</v>
      </c>
      <c r="E54">
        <v>6.3570872139193698E-5</v>
      </c>
      <c r="F54">
        <v>7.3323777338529098E-7</v>
      </c>
      <c r="G54">
        <v>6.4441409795534405E-8</v>
      </c>
      <c r="H54">
        <v>4.2030236073913298E-7</v>
      </c>
      <c r="I54">
        <v>6.5776888413689496E-9</v>
      </c>
      <c r="J54">
        <v>3.4189649852755399E-4</v>
      </c>
      <c r="K54">
        <v>1.0424597352256299E-4</v>
      </c>
      <c r="L54">
        <v>1.18226678546176E-5</v>
      </c>
      <c r="M54">
        <v>2.17167431104722E-6</v>
      </c>
      <c r="N54">
        <v>7.1720318174370204E-5</v>
      </c>
      <c r="O54">
        <v>1.20007974865433E-5</v>
      </c>
      <c r="P54">
        <v>1.7795589713427801E-5</v>
      </c>
      <c r="Q54">
        <v>2.9857888646406501E-6</v>
      </c>
      <c r="R54">
        <v>5.6248573566730802E-8</v>
      </c>
      <c r="S54">
        <v>4.5208008037974701E-6</v>
      </c>
      <c r="T54">
        <v>2.0064658500036699E-7</v>
      </c>
      <c r="U54">
        <v>6.6436297378157498E-5</v>
      </c>
      <c r="V54">
        <v>9.3756544849671593E-5</v>
      </c>
    </row>
    <row r="55" spans="1:22" x14ac:dyDescent="0.25">
      <c r="A55" t="s">
        <v>44</v>
      </c>
      <c r="B55" t="s">
        <v>73</v>
      </c>
      <c r="C55">
        <v>3.4543906422231999E-2</v>
      </c>
      <c r="E55">
        <v>4.2441556174228397E-3</v>
      </c>
      <c r="F55">
        <v>8.5171162946113697E-4</v>
      </c>
      <c r="G55">
        <v>1.2037862157621399E-4</v>
      </c>
      <c r="H55">
        <v>2.3564516221371801E-5</v>
      </c>
      <c r="I55">
        <v>2.8987627685350999E-7</v>
      </c>
      <c r="J55">
        <v>1.3544198608690499E-2</v>
      </c>
      <c r="K55">
        <v>4.12969473401053E-3</v>
      </c>
      <c r="L55">
        <v>5.0571366654138998E-4</v>
      </c>
      <c r="M55">
        <v>9.58479808087332E-5</v>
      </c>
      <c r="N55">
        <v>3.4423968737617499E-3</v>
      </c>
      <c r="O55">
        <v>7.5904361646736396E-4</v>
      </c>
      <c r="P55">
        <v>3.6518440350824998E-4</v>
      </c>
      <c r="Q55">
        <v>1.83123988811957E-4</v>
      </c>
      <c r="R55">
        <v>1.1161253422182901E-5</v>
      </c>
      <c r="S55">
        <v>1.92681298542438E-4</v>
      </c>
      <c r="T55">
        <v>2.3306632044811101E-4</v>
      </c>
      <c r="U55">
        <v>2.4126099633319299E-3</v>
      </c>
      <c r="V55">
        <v>3.4290834529284598E-3</v>
      </c>
    </row>
    <row r="56" spans="1:22" x14ac:dyDescent="0.25">
      <c r="A56" t="s">
        <v>32</v>
      </c>
      <c r="B56" t="s">
        <v>29</v>
      </c>
      <c r="C56">
        <v>2.8708262001423002</v>
      </c>
      <c r="E56">
        <v>0.114607943801634</v>
      </c>
      <c r="F56">
        <v>2.361306828952E-4</v>
      </c>
      <c r="G56">
        <v>1.5720080371686E-5</v>
      </c>
      <c r="H56">
        <v>4.7602802475018198E-3</v>
      </c>
      <c r="I56">
        <v>5.6212464223704003E-5</v>
      </c>
      <c r="J56">
        <v>1.5868670788515999</v>
      </c>
      <c r="K56">
        <v>0.48384380711187103</v>
      </c>
      <c r="L56">
        <v>6.0006125716524E-2</v>
      </c>
      <c r="M56">
        <v>1.47551594654344E-2</v>
      </c>
      <c r="N56">
        <v>0.18116338925765299</v>
      </c>
      <c r="O56">
        <v>6.3731728829308401E-2</v>
      </c>
      <c r="P56">
        <v>0.14369262151406501</v>
      </c>
      <c r="Q56">
        <v>0.12104578282624601</v>
      </c>
      <c r="R56">
        <v>1.9441087362022001E-5</v>
      </c>
      <c r="S56">
        <v>1.4517594267204001E-3</v>
      </c>
      <c r="T56">
        <v>6.4615895220431806E-5</v>
      </c>
      <c r="U56">
        <v>9.4981656586470304E-3</v>
      </c>
      <c r="V56">
        <v>8.5010237225025403E-2</v>
      </c>
    </row>
    <row r="57" spans="1:22" x14ac:dyDescent="0.25">
      <c r="A57" t="s">
        <v>53</v>
      </c>
      <c r="B57" t="s">
        <v>52</v>
      </c>
      <c r="C57">
        <v>1.3280054515269</v>
      </c>
      <c r="E57">
        <v>0.160322592174861</v>
      </c>
      <c r="F57">
        <v>7.3824182272383701E-2</v>
      </c>
      <c r="G57">
        <v>5.0453534640656104E-3</v>
      </c>
      <c r="H57">
        <v>7.19891966860345E-4</v>
      </c>
      <c r="I57">
        <v>5.0556222233701798E-6</v>
      </c>
      <c r="J57">
        <v>0.39421205295141698</v>
      </c>
      <c r="K57">
        <v>0.120197250955282</v>
      </c>
      <c r="L57">
        <v>1.34474829775026E-2</v>
      </c>
      <c r="M57">
        <v>2.45807119729563E-3</v>
      </c>
      <c r="N57">
        <v>9.3089636430031306E-2</v>
      </c>
      <c r="O57">
        <v>1.7433472198517801E-2</v>
      </c>
      <c r="P57">
        <v>1.1051902327471899E-2</v>
      </c>
      <c r="Q57">
        <v>4.10920695425994E-3</v>
      </c>
      <c r="R57">
        <v>4.1431617302774097E-4</v>
      </c>
      <c r="S57">
        <v>6.3025376192220499E-3</v>
      </c>
      <c r="T57">
        <v>2.0201591626970099E-2</v>
      </c>
      <c r="U57">
        <v>0.31227907311673198</v>
      </c>
      <c r="V57">
        <v>9.2891781498778705E-2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2012 LED lamp LCI</vt:lpstr>
      <vt:lpstr>2017 LED lamp 1 LCI</vt:lpstr>
      <vt:lpstr>2017 Product 2 LCI</vt:lpstr>
      <vt:lpstr>2017 LED lamp 3 LCI</vt:lpstr>
      <vt:lpstr>LED unit LCI</vt:lpstr>
      <vt:lpstr>2012 lamp LC EU</vt:lpstr>
      <vt:lpstr>2017 lamp 1 LC EU</vt:lpstr>
      <vt:lpstr>2017 Lamp 2 LC EU</vt:lpstr>
      <vt:lpstr>2017 lamp 3 LC EU</vt:lpstr>
      <vt:lpstr>LED complete unit</vt:lpstr>
      <vt:lpstr>Static scenario</vt:lpstr>
      <vt:lpstr>Improved product (EU) Scenario</vt:lpstr>
      <vt:lpstr>EU normalisation world</vt:lpstr>
      <vt:lpstr> Decarbonised (NO) scenario</vt:lpstr>
      <vt:lpstr>Decarbonised (SE) scenario</vt:lpstr>
      <vt:lpstr>ILCD EU scenario</vt:lpstr>
      <vt:lpstr>ILCD EU Relative</vt:lpstr>
      <vt:lpstr>ILCD NO scenario</vt:lpstr>
      <vt:lpstr>ILCD SE normalised global</vt:lpstr>
      <vt:lpstr>ILCD SE scenario</vt:lpstr>
      <vt:lpstr>ILCD SE Relative</vt:lpstr>
      <vt:lpstr>Improving product LD(EU)</vt:lpstr>
      <vt:lpstr>IP scenario normalised LD (EU)</vt:lpstr>
      <vt:lpstr>Uncertainty analysis</vt:lpstr>
      <vt:lpstr>2012 LED lamp LC (EU)</vt:lpstr>
      <vt:lpstr>2017 Product 1 LC (NO)</vt:lpstr>
      <vt:lpstr>2017 LC product 1 (SE)</vt:lpstr>
      <vt:lpstr>Static relative impacts</vt:lpstr>
      <vt:lpstr>IP relative impacts</vt:lpstr>
    </vt:vector>
  </TitlesOfParts>
  <Company>Axolot Data XLSReadWriteII 4.00.38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Luth Richter</dc:creator>
  <cp:lastModifiedBy>Jessika Luth Richter</cp:lastModifiedBy>
  <dcterms:created xsi:type="dcterms:W3CDTF">2018-04-04T11:44:00Z</dcterms:created>
  <dcterms:modified xsi:type="dcterms:W3CDTF">2018-12-11T12:38:43Z</dcterms:modified>
</cp:coreProperties>
</file>